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ufelStorage\Documents\ILRI\ProjectsCurrent\CRP_Livestock\01Planning\02SIF\01Impact\05Proposal\"/>
    </mc:Choice>
  </mc:AlternateContent>
  <bookViews>
    <workbookView xWindow="0" yWindow="0" windowWidth="11805" windowHeight="5220" activeTab="2"/>
  </bookViews>
  <sheets>
    <sheet name="Overview" sheetId="7" r:id="rId1"/>
    <sheet name="1_KIT" sheetId="6" r:id="rId2"/>
    <sheet name="2_AdoptionRateSeedSalesCIAT" sheetId="5" r:id="rId3"/>
    <sheet name="3_AdoptionDualPurpGroundnutILRI" sheetId="2" r:id="rId4"/>
    <sheet name="4_ForageImpactILRI" sheetId="4" r:id="rId5"/>
    <sheet name="5_NapierVarietiesILRI" sheetId="3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5" l="1"/>
  <c r="E15" i="5"/>
  <c r="E13" i="5"/>
  <c r="E12" i="5"/>
  <c r="E10" i="5"/>
  <c r="E9" i="5"/>
  <c r="E8" i="5"/>
  <c r="E7" i="5"/>
  <c r="E6" i="5"/>
  <c r="E5" i="5"/>
  <c r="E4" i="5"/>
  <c r="E3" i="5"/>
  <c r="E2" i="5"/>
  <c r="M15" i="5" l="1"/>
  <c r="E14" i="5"/>
  <c r="E18" i="5" s="1"/>
  <c r="E19" i="5" s="1"/>
  <c r="E20" i="5" s="1"/>
  <c r="G21" i="5"/>
  <c r="E21" i="5"/>
  <c r="E22" i="5" l="1"/>
  <c r="E23" i="5" s="1"/>
  <c r="E24" i="5" s="1"/>
  <c r="G22" i="5"/>
  <c r="G23" i="5" s="1"/>
  <c r="G7" i="2"/>
  <c r="H7" i="2"/>
  <c r="E7" i="2"/>
  <c r="G16" i="2" l="1"/>
  <c r="G15" i="2"/>
  <c r="E15" i="2"/>
  <c r="E16" i="2"/>
  <c r="G6" i="2"/>
  <c r="E6" i="2"/>
  <c r="H15" i="2" l="1"/>
  <c r="H6" i="2"/>
  <c r="H16" i="2"/>
  <c r="G13" i="5" l="1"/>
  <c r="G12" i="5"/>
  <c r="H13" i="5" l="1"/>
  <c r="H12" i="5"/>
  <c r="G13" i="3"/>
  <c r="G12" i="3"/>
  <c r="E13" i="3"/>
  <c r="E12" i="3"/>
  <c r="G7" i="3"/>
  <c r="H7" i="3"/>
  <c r="G6" i="3"/>
  <c r="H6" i="3"/>
  <c r="E7" i="3"/>
  <c r="E6" i="3"/>
  <c r="G5" i="4"/>
  <c r="H5" i="4"/>
  <c r="G6" i="4"/>
  <c r="H6" i="4"/>
  <c r="E5" i="4"/>
  <c r="E6" i="4"/>
  <c r="G11" i="4"/>
  <c r="E11" i="4"/>
  <c r="G10" i="4"/>
  <c r="E10" i="4"/>
  <c r="E2" i="2"/>
  <c r="G8" i="2"/>
  <c r="E8" i="2"/>
  <c r="H8" i="2" s="1"/>
  <c r="G9" i="2"/>
  <c r="E9" i="2"/>
  <c r="H9" i="2" s="1"/>
  <c r="G5" i="2" l="1"/>
  <c r="G4" i="2"/>
  <c r="E5" i="2"/>
  <c r="E4" i="2"/>
  <c r="H4" i="2" l="1"/>
  <c r="H5" i="2"/>
  <c r="G4" i="5"/>
  <c r="G4" i="6"/>
  <c r="G5" i="6"/>
  <c r="E5" i="6"/>
  <c r="E4" i="6"/>
  <c r="C8" i="5"/>
  <c r="G17" i="5"/>
  <c r="G16" i="5"/>
  <c r="E17" i="5"/>
  <c r="E16" i="5"/>
  <c r="G10" i="5"/>
  <c r="G9" i="5"/>
  <c r="G7" i="5"/>
  <c r="G6" i="5"/>
  <c r="G5" i="5"/>
  <c r="G3" i="5"/>
  <c r="G2" i="5"/>
  <c r="G8" i="5" l="1"/>
  <c r="H8" i="5" s="1"/>
  <c r="H15" i="5"/>
  <c r="O16" i="5"/>
  <c r="M16" i="5"/>
  <c r="H17" i="5"/>
  <c r="O17" i="5"/>
  <c r="M17" i="5"/>
  <c r="O15" i="5"/>
  <c r="G14" i="5"/>
  <c r="G18" i="5" s="1"/>
  <c r="H3" i="5"/>
  <c r="H21" i="5" s="1"/>
  <c r="H7" i="5"/>
  <c r="H16" i="5"/>
  <c r="H4" i="5"/>
  <c r="H9" i="5"/>
  <c r="H6" i="5"/>
  <c r="H10" i="5"/>
  <c r="H5" i="6"/>
  <c r="E7" i="6"/>
  <c r="E8" i="6" s="1"/>
  <c r="E9" i="6" s="1"/>
  <c r="G7" i="6"/>
  <c r="H4" i="6"/>
  <c r="H5" i="5"/>
  <c r="H2" i="5"/>
  <c r="G4" i="4"/>
  <c r="G12" i="4" s="1"/>
  <c r="E4" i="4"/>
  <c r="G5" i="3"/>
  <c r="E5" i="3"/>
  <c r="H5" i="3" s="1"/>
  <c r="G10" i="2"/>
  <c r="E10" i="2"/>
  <c r="G3" i="4"/>
  <c r="G7" i="4"/>
  <c r="G8" i="4"/>
  <c r="G9" i="4"/>
  <c r="H9" i="4" s="1"/>
  <c r="G2" i="4"/>
  <c r="E3" i="4"/>
  <c r="E7" i="4"/>
  <c r="H7" i="4" s="1"/>
  <c r="E8" i="4"/>
  <c r="E9" i="4"/>
  <c r="E2" i="4"/>
  <c r="G3" i="3"/>
  <c r="G4" i="3"/>
  <c r="G14" i="3" s="1"/>
  <c r="G8" i="3"/>
  <c r="G9" i="3"/>
  <c r="G10" i="3"/>
  <c r="G11" i="3"/>
  <c r="G2" i="3"/>
  <c r="E3" i="3"/>
  <c r="E4" i="3"/>
  <c r="E14" i="3" s="1"/>
  <c r="E8" i="3"/>
  <c r="E9" i="3"/>
  <c r="E10" i="3"/>
  <c r="H10" i="3" s="1"/>
  <c r="E11" i="3"/>
  <c r="H11" i="3" s="1"/>
  <c r="E2" i="3"/>
  <c r="H22" i="5" l="1"/>
  <c r="H23" i="5"/>
  <c r="G19" i="5"/>
  <c r="G20" i="5" s="1"/>
  <c r="G24" i="5" s="1"/>
  <c r="H14" i="5"/>
  <c r="H18" i="5" s="1"/>
  <c r="H19" i="5" s="1"/>
  <c r="H20" i="5" s="1"/>
  <c r="H4" i="4"/>
  <c r="E12" i="4"/>
  <c r="H12" i="4" s="1"/>
  <c r="H12" i="3"/>
  <c r="H10" i="2"/>
  <c r="E15" i="3"/>
  <c r="E16" i="3" s="1"/>
  <c r="E17" i="3" s="1"/>
  <c r="H10" i="4"/>
  <c r="H11" i="4"/>
  <c r="H7" i="6"/>
  <c r="H8" i="6" s="1"/>
  <c r="H9" i="6" s="1"/>
  <c r="E5" i="7" s="1"/>
  <c r="G8" i="6"/>
  <c r="G9" i="6" s="1"/>
  <c r="G13" i="4"/>
  <c r="G14" i="4" s="1"/>
  <c r="G15" i="4" s="1"/>
  <c r="H9" i="3"/>
  <c r="H3" i="3"/>
  <c r="H4" i="3"/>
  <c r="G15" i="3"/>
  <c r="G16" i="3" s="1"/>
  <c r="G17" i="3" s="1"/>
  <c r="H2" i="4"/>
  <c r="H8" i="4"/>
  <c r="H3" i="4"/>
  <c r="H8" i="3"/>
  <c r="H2" i="3"/>
  <c r="H24" i="5" l="1"/>
  <c r="E6" i="7"/>
  <c r="H13" i="3"/>
  <c r="H14" i="3"/>
  <c r="E13" i="4"/>
  <c r="H13" i="4"/>
  <c r="H14" i="4" l="1"/>
  <c r="H15" i="4" s="1"/>
  <c r="E10" i="7" s="1"/>
  <c r="E14" i="4"/>
  <c r="E15" i="4" s="1"/>
  <c r="H15" i="3"/>
  <c r="H16" i="3" s="1"/>
  <c r="H17" i="3" s="1"/>
  <c r="E11" i="7" s="1"/>
  <c r="G3" i="2" l="1"/>
  <c r="G11" i="2"/>
  <c r="G12" i="2"/>
  <c r="G13" i="2"/>
  <c r="G14" i="2"/>
  <c r="G2" i="2"/>
  <c r="E11" i="2"/>
  <c r="E12" i="2"/>
  <c r="E13" i="2"/>
  <c r="E14" i="2"/>
  <c r="E3" i="2"/>
  <c r="E24" i="2" l="1"/>
  <c r="E21" i="2"/>
  <c r="E20" i="2"/>
  <c r="E22" i="2"/>
  <c r="E23" i="2"/>
  <c r="E18" i="2"/>
  <c r="E19" i="2"/>
  <c r="E17" i="2"/>
  <c r="G23" i="2"/>
  <c r="G20" i="2"/>
  <c r="G18" i="2"/>
  <c r="G19" i="2"/>
  <c r="H19" i="2" s="1"/>
  <c r="G22" i="2"/>
  <c r="H22" i="2" s="1"/>
  <c r="G21" i="2"/>
  <c r="G17" i="2"/>
  <c r="H13" i="2"/>
  <c r="H11" i="2"/>
  <c r="H2" i="2"/>
  <c r="H12" i="2"/>
  <c r="H14" i="2"/>
  <c r="H3" i="2"/>
  <c r="H20" i="2" l="1"/>
  <c r="E27" i="2"/>
  <c r="E28" i="2" s="1"/>
  <c r="E29" i="2" s="1"/>
  <c r="E30" i="2"/>
  <c r="G30" i="2"/>
  <c r="G31" i="2" s="1"/>
  <c r="G27" i="2"/>
  <c r="E31" i="2"/>
  <c r="E32" i="2" s="1"/>
  <c r="E25" i="2"/>
  <c r="E26" i="2"/>
  <c r="H18" i="2"/>
  <c r="H27" i="2" s="1"/>
  <c r="H17" i="2"/>
  <c r="G24" i="2"/>
  <c r="G25" i="2" s="1"/>
  <c r="H21" i="2"/>
  <c r="H23" i="2"/>
  <c r="H30" i="2" l="1"/>
  <c r="G32" i="2"/>
  <c r="E33" i="2"/>
  <c r="H24" i="2"/>
  <c r="G28" i="2"/>
  <c r="G29" i="2" s="1"/>
  <c r="G26" i="2"/>
  <c r="G33" i="2" l="1"/>
  <c r="J33" i="2" s="1"/>
  <c r="H28" i="2"/>
  <c r="H29" i="2" s="1"/>
  <c r="H31" i="2"/>
  <c r="H32" i="2" s="1"/>
  <c r="H25" i="2"/>
  <c r="H26" i="2" s="1"/>
  <c r="H33" i="2" l="1"/>
  <c r="E7" i="7" s="1"/>
  <c r="E8" i="7" s="1"/>
</calcChain>
</file>

<file path=xl/sharedStrings.xml><?xml version="1.0" encoding="utf-8"?>
<sst xmlns="http://schemas.openxmlformats.org/spreadsheetml/2006/main" count="215" uniqueCount="101">
  <si>
    <t>Item (salaries inflated @ 5%/y)</t>
  </si>
  <si>
    <t>Unit</t>
  </si>
  <si>
    <t>Cost 
['000 USD]</t>
  </si>
  <si>
    <t>Ph1 amount
['000 USD]</t>
  </si>
  <si>
    <t>year</t>
  </si>
  <si>
    <t>workshop</t>
  </si>
  <si>
    <t>Operations (surveys, services)</t>
  </si>
  <si>
    <t>Sub-total</t>
  </si>
  <si>
    <t>Total</t>
  </si>
  <si>
    <t>Item</t>
  </si>
  <si>
    <t>Ph2 amount
['000 USD]</t>
  </si>
  <si>
    <t>Total 
['000 USD]</t>
  </si>
  <si>
    <t>total study</t>
  </si>
  <si>
    <t>community</t>
  </si>
  <si>
    <t>VC actor</t>
  </si>
  <si>
    <t>trip</t>
  </si>
  <si>
    <t>International travel</t>
  </si>
  <si>
    <t>Adoption survey</t>
  </si>
  <si>
    <t>Seed system VCA</t>
  </si>
  <si>
    <t>Workshops</t>
  </si>
  <si>
    <t>Ph1 (3mo)
quantity</t>
  </si>
  <si>
    <t>Ph2 (9mo)
quantity</t>
  </si>
  <si>
    <t>plant sample</t>
  </si>
  <si>
    <t>household</t>
  </si>
  <si>
    <t>ICT charges</t>
  </si>
  <si>
    <t>Office charges</t>
  </si>
  <si>
    <t>Indirect costs</t>
  </si>
  <si>
    <t>NRS (Eunice)</t>
  </si>
  <si>
    <t>DNA finger-printing</t>
  </si>
  <si>
    <t>Impact survey</t>
  </si>
  <si>
    <t>all direct cost</t>
  </si>
  <si>
    <t>staff</t>
  </si>
  <si>
    <t>research staff cost</t>
  </si>
  <si>
    <t>IRS forage genetics (Chris Jones)</t>
  </si>
  <si>
    <t>IRS (Nils)</t>
  </si>
  <si>
    <t>International Travel</t>
  </si>
  <si>
    <t>Ph1 (4mo)
quantity</t>
  </si>
  <si>
    <t>Ph2 (12mo)
quantity</t>
  </si>
  <si>
    <t>Consultation Workshops</t>
  </si>
  <si>
    <t xml:space="preserve">Domestic travel </t>
  </si>
  <si>
    <t>IRS 1</t>
  </si>
  <si>
    <t xml:space="preserve">International travel </t>
  </si>
  <si>
    <t>IRS 3 (Nils Teufel-ILRI)</t>
  </si>
  <si>
    <t>IRS (Habibar Rahman)</t>
  </si>
  <si>
    <t>IRS (Nils Teufel)</t>
  </si>
  <si>
    <t>NRS (Braja Swain)</t>
  </si>
  <si>
    <t>NRS (Eunice Kariuki)</t>
  </si>
  <si>
    <t>CRP Livestock - SIF</t>
  </si>
  <si>
    <t>Overview of proposed Adoption &amp; Impact Assessment studies</t>
  </si>
  <si>
    <t>Consultancy by KIT</t>
  </si>
  <si>
    <t>USD</t>
  </si>
  <si>
    <t>Measurement of Forage Adoption through Seed Sales</t>
  </si>
  <si>
    <t>Adoption of Dual-Purpose Groundnut</t>
  </si>
  <si>
    <t>Forage impact</t>
  </si>
  <si>
    <t>Napier varieties</t>
  </si>
  <si>
    <t>day</t>
  </si>
  <si>
    <t>Ph1 (4 mo)
quantity</t>
  </si>
  <si>
    <t>Overhead (ILRI)</t>
  </si>
  <si>
    <t>Admin (Obed Ateka)</t>
  </si>
  <si>
    <t>Admin (Joyce Wanderi)</t>
  </si>
  <si>
    <t>ICT 
['000 USD]</t>
  </si>
  <si>
    <t>Space 
['000 USD]</t>
  </si>
  <si>
    <t>Indirect costs (ILRI)</t>
  </si>
  <si>
    <t>NRS (Luke Korir)</t>
  </si>
  <si>
    <t>Research coordination</t>
  </si>
  <si>
    <t>Admin (Simon Turere)</t>
  </si>
  <si>
    <t>IRS impact assessment (Michael Kidoido)</t>
  </si>
  <si>
    <t>Research coordination charges</t>
  </si>
  <si>
    <t>IT cost (CIAT)</t>
  </si>
  <si>
    <t>Facilities &amp; common area (CIAT)</t>
  </si>
  <si>
    <t>Research &amp; Technical Support (CIAT</t>
  </si>
  <si>
    <t>Office space charges (ILRI)</t>
  </si>
  <si>
    <t>Research coordination charges (ILRI)</t>
  </si>
  <si>
    <t>ICT charges (ILRI)</t>
  </si>
  <si>
    <t>IRS (CIAT legume breeder)</t>
  </si>
  <si>
    <t>Indirect costs (CIAT)</t>
  </si>
  <si>
    <t>ICT charges (CIAT)</t>
  </si>
  <si>
    <t>Office space charges (CIAT)</t>
  </si>
  <si>
    <t>Research coordination charges (CIAT)</t>
  </si>
  <si>
    <t>ILRI ICT 
['000 USD]</t>
  </si>
  <si>
    <t>ILRI Space 
['000 USD]</t>
  </si>
  <si>
    <t>ILRI Res. coord.</t>
  </si>
  <si>
    <t>CIAT staff</t>
  </si>
  <si>
    <t>Sub-total (CIAT)</t>
  </si>
  <si>
    <t>Sub-total (ILRI)</t>
  </si>
  <si>
    <t>Total (CIAT)</t>
  </si>
  <si>
    <t>Total (ILRI)</t>
  </si>
  <si>
    <t>Grand Total</t>
  </si>
  <si>
    <t>Sub-total (ICRISAT)</t>
  </si>
  <si>
    <t>Indirect costs (ICRISAT)</t>
  </si>
  <si>
    <t>Total (ICRISAT)</t>
  </si>
  <si>
    <t>ICT charges (ICRISAT)</t>
  </si>
  <si>
    <t>Office space charges (ICRISAT)</t>
  </si>
  <si>
    <t>Research coordination charges (ICRISAT)</t>
  </si>
  <si>
    <t>ICRISAT staff</t>
  </si>
  <si>
    <t>NRS (ICRISAT social scientist)</t>
  </si>
  <si>
    <t>IRS 1 (Byron Reyes-CIAT)</t>
  </si>
  <si>
    <t>IRS 2 (Stefan Burkart-CIAT)</t>
  </si>
  <si>
    <t>NRS 1 (Juliana Pinillos-CIAT)</t>
  </si>
  <si>
    <t>NRS 2 (Karen Enciso-CIAT)</t>
  </si>
  <si>
    <t>NRS 3  (Lorena Gomez-CIAT)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</si>
</sst>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9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9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1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0" fillId="0" borderId="0" xfId="1" applyNumberFormat="1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2" fontId="0" fillId="0" borderId="2" xfId="0" quotePrefix="1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  <xf numFmtId="9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center"/>
    </xf>
    <xf numFmtId="0" fontId="0" fillId="0" borderId="2" xfId="0" applyFont="1" applyBorder="1"/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2" fontId="0" fillId="0" borderId="0" xfId="0" applyNumberFormat="1" applyFont="1"/>
    <xf numFmtId="2" fontId="0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9" fontId="0" fillId="0" borderId="0" xfId="1" applyFont="1"/>
    <xf numFmtId="2" fontId="0" fillId="0" borderId="3" xfId="0" applyNumberFormat="1" applyFont="1" applyBorder="1"/>
    <xf numFmtId="9" fontId="0" fillId="0" borderId="3" xfId="1" applyFont="1" applyBorder="1"/>
    <xf numFmtId="2" fontId="0" fillId="0" borderId="0" xfId="0" applyNumberFormat="1" applyFont="1" applyBorder="1"/>
    <xf numFmtId="9" fontId="0" fillId="0" borderId="0" xfId="1" applyFont="1" applyBorder="1"/>
    <xf numFmtId="2" fontId="0" fillId="0" borderId="2" xfId="0" applyNumberFormat="1" applyFont="1" applyBorder="1"/>
    <xf numFmtId="0" fontId="0" fillId="0" borderId="5" xfId="0" applyFont="1" applyBorder="1"/>
    <xf numFmtId="2" fontId="0" fillId="0" borderId="5" xfId="0" applyNumberFormat="1" applyFont="1" applyBorder="1"/>
    <xf numFmtId="0" fontId="0" fillId="0" borderId="4" xfId="0" applyFont="1" applyBorder="1" applyAlignment="1">
      <alignment vertical="center" wrapText="1"/>
    </xf>
    <xf numFmtId="9" fontId="0" fillId="0" borderId="4" xfId="0" applyNumberFormat="1" applyFont="1" applyBorder="1"/>
    <xf numFmtId="2" fontId="0" fillId="0" borderId="4" xfId="0" applyNumberFormat="1" applyFont="1" applyBorder="1"/>
    <xf numFmtId="9" fontId="0" fillId="0" borderId="0" xfId="0" applyNumberFormat="1" applyFont="1" applyBorder="1"/>
    <xf numFmtId="9" fontId="0" fillId="0" borderId="2" xfId="1" applyFont="1" applyBorder="1"/>
    <xf numFmtId="9" fontId="0" fillId="0" borderId="2" xfId="0" applyNumberFormat="1" applyFont="1" applyBorder="1"/>
    <xf numFmtId="9" fontId="0" fillId="0" borderId="0" xfId="0" applyNumberFormat="1" applyFont="1" applyBorder="1" applyAlignment="1">
      <alignment horizontal="right" vertical="center" wrapText="1"/>
    </xf>
    <xf numFmtId="2" fontId="0" fillId="0" borderId="0" xfId="0" applyNumberFormat="1" applyFont="1" applyBorder="1" applyAlignment="1">
      <alignment horizontal="right" vertical="center" wrapText="1"/>
    </xf>
    <xf numFmtId="9" fontId="0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 vertical="center"/>
    </xf>
    <xf numFmtId="9" fontId="0" fillId="0" borderId="0" xfId="0" applyNumberFormat="1" applyFont="1" applyAlignment="1">
      <alignment horizontal="right" vertical="center" wrapText="1"/>
    </xf>
    <xf numFmtId="2" fontId="0" fillId="0" borderId="0" xfId="0" applyNumberFormat="1" applyFont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/>
    </xf>
    <xf numFmtId="0" fontId="0" fillId="0" borderId="2" xfId="0" applyFont="1" applyBorder="1" applyAlignment="1">
      <alignment horizontal="right" vertical="center" wrapText="1"/>
    </xf>
    <xf numFmtId="2" fontId="0" fillId="0" borderId="2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right"/>
    </xf>
    <xf numFmtId="2" fontId="0" fillId="0" borderId="2" xfId="0" applyNumberFormat="1" applyFont="1" applyBorder="1" applyAlignment="1">
      <alignment horizontal="right"/>
    </xf>
    <xf numFmtId="2" fontId="0" fillId="0" borderId="2" xfId="0" applyNumberFormat="1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 wrapText="1"/>
    </xf>
    <xf numFmtId="2" fontId="0" fillId="0" borderId="2" xfId="0" quotePrefix="1" applyNumberFormat="1" applyFont="1" applyBorder="1" applyAlignment="1">
      <alignment horizontal="right" vertical="center" wrapText="1"/>
    </xf>
    <xf numFmtId="2" fontId="0" fillId="0" borderId="2" xfId="1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2" fontId="0" fillId="0" borderId="2" xfId="1" applyNumberFormat="1" applyFont="1" applyFill="1" applyBorder="1" applyAlignment="1">
      <alignment horizontal="center" vertical="center" wrapText="1"/>
    </xf>
    <xf numFmtId="2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3" fontId="0" fillId="0" borderId="0" xfId="2" applyFont="1"/>
    <xf numFmtId="2" fontId="0" fillId="0" borderId="0" xfId="0" applyNumberFormat="1"/>
    <xf numFmtId="0" fontId="0" fillId="0" borderId="6" xfId="0" applyBorder="1"/>
    <xf numFmtId="0" fontId="0" fillId="0" borderId="6" xfId="0" applyBorder="1" applyAlignment="1">
      <alignment horizontal="center" vertical="center"/>
    </xf>
    <xf numFmtId="2" fontId="0" fillId="0" borderId="6" xfId="0" applyNumberFormat="1" applyBorder="1"/>
    <xf numFmtId="0" fontId="0" fillId="0" borderId="3" xfId="0" applyNumberFormat="1" applyFont="1" applyBorder="1" applyAlignment="1">
      <alignment horizontal="center" vertical="center" wrapText="1"/>
    </xf>
    <xf numFmtId="2" fontId="0" fillId="0" borderId="4" xfId="0" applyNumberFormat="1" applyFont="1" applyFill="1" applyBorder="1"/>
    <xf numFmtId="2" fontId="0" fillId="0" borderId="0" xfId="0" applyNumberFormat="1" applyFont="1" applyFill="1" applyBorder="1"/>
    <xf numFmtId="0" fontId="0" fillId="0" borderId="1" xfId="0" applyFont="1" applyFill="1" applyBorder="1" applyAlignment="1">
      <alignment horizontal="center" vertical="center" wrapText="1"/>
    </xf>
    <xf numFmtId="2" fontId="0" fillId="0" borderId="0" xfId="0" applyNumberFormat="1" applyFont="1" applyBorder="1" applyAlignment="1">
      <alignment vertical="center" wrapText="1"/>
    </xf>
    <xf numFmtId="2" fontId="0" fillId="0" borderId="0" xfId="0" applyNumberFormat="1" applyFont="1" applyAlignment="1"/>
    <xf numFmtId="9" fontId="0" fillId="0" borderId="4" xfId="0" applyNumberFormat="1" applyFont="1" applyFill="1" applyBorder="1"/>
    <xf numFmtId="9" fontId="0" fillId="0" borderId="0" xfId="0" applyNumberFormat="1" applyFont="1" applyFill="1" applyBorder="1"/>
    <xf numFmtId="0" fontId="0" fillId="0" borderId="0" xfId="0" applyFont="1" applyFill="1" applyBorder="1" applyAlignment="1">
      <alignment vertical="center" wrapText="1"/>
    </xf>
    <xf numFmtId="2" fontId="0" fillId="0" borderId="0" xfId="1" applyNumberFormat="1" applyFont="1" applyFill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0" fillId="0" borderId="0" xfId="0" applyNumberFormat="1" applyFont="1"/>
    <xf numFmtId="9" fontId="0" fillId="0" borderId="0" xfId="0" applyNumberFormat="1" applyFont="1" applyBorder="1" applyAlignment="1">
      <alignment horizontal="center" vertical="center" wrapText="1"/>
    </xf>
    <xf numFmtId="9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9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0" xfId="0" quotePrefix="1" applyNumberFormat="1" applyFont="1" applyBorder="1" applyAlignment="1">
      <alignment horizontal="center" vertical="top" wrapText="1"/>
    </xf>
    <xf numFmtId="2" fontId="0" fillId="0" borderId="0" xfId="0" applyNumberFormat="1" applyFont="1" applyBorder="1" applyAlignment="1">
      <alignment horizontal="center" vertical="top" wrapText="1"/>
    </xf>
    <xf numFmtId="2" fontId="0" fillId="0" borderId="0" xfId="0" applyNumberFormat="1" applyFont="1" applyBorder="1" applyAlignment="1">
      <alignment horizontal="right" vertical="center"/>
    </xf>
    <xf numFmtId="2" fontId="0" fillId="0" borderId="0" xfId="0" quotePrefix="1" applyNumberFormat="1" applyFont="1" applyBorder="1" applyAlignment="1">
      <alignment horizontal="right" vertical="center" wrapText="1"/>
    </xf>
    <xf numFmtId="0" fontId="0" fillId="2" borderId="0" xfId="0" applyFont="1" applyFill="1" applyAlignment="1">
      <alignment vertical="center" wrapText="1"/>
    </xf>
    <xf numFmtId="9" fontId="0" fillId="2" borderId="4" xfId="0" applyNumberFormat="1" applyFont="1" applyFill="1" applyBorder="1"/>
    <xf numFmtId="2" fontId="0" fillId="2" borderId="4" xfId="0" applyNumberFormat="1" applyFont="1" applyFill="1" applyBorder="1"/>
    <xf numFmtId="9" fontId="0" fillId="2" borderId="0" xfId="0" applyNumberFormat="1" applyFont="1" applyFill="1" applyBorder="1"/>
    <xf numFmtId="2" fontId="0" fillId="2" borderId="0" xfId="0" applyNumberFormat="1" applyFont="1" applyFill="1" applyBorder="1"/>
    <xf numFmtId="9" fontId="0" fillId="2" borderId="2" xfId="0" applyNumberFormat="1" applyFont="1" applyFill="1" applyBorder="1"/>
    <xf numFmtId="2" fontId="0" fillId="2" borderId="2" xfId="0" applyNumberFormat="1" applyFont="1" applyFill="1" applyBorder="1"/>
    <xf numFmtId="2" fontId="0" fillId="2" borderId="0" xfId="0" applyNumberFormat="1" applyFont="1" applyFill="1" applyAlignment="1">
      <alignment horizontal="right" vertical="center" wrapText="1"/>
    </xf>
    <xf numFmtId="9" fontId="0" fillId="2" borderId="0" xfId="1" applyFont="1" applyFill="1" applyBorder="1"/>
    <xf numFmtId="0" fontId="0" fillId="0" borderId="0" xfId="0" quotePrefix="1" applyFont="1" applyBorder="1" applyAlignment="1">
      <alignment horizontal="center" vertical="top" wrapText="1"/>
    </xf>
    <xf numFmtId="9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7" xfId="0" applyFont="1" applyBorder="1" applyAlignment="1">
      <alignment vertical="center" wrapText="1"/>
    </xf>
    <xf numFmtId="0" fontId="0" fillId="0" borderId="7" xfId="0" applyFont="1" applyBorder="1" applyAlignment="1">
      <alignment horizontal="center" vertical="center" wrapText="1"/>
    </xf>
    <xf numFmtId="2" fontId="0" fillId="0" borderId="7" xfId="0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9" fontId="0" fillId="0" borderId="3" xfId="0" applyNumberFormat="1" applyFont="1" applyBorder="1" applyAlignment="1">
      <alignment horizontal="center" vertical="center" wrapText="1"/>
    </xf>
    <xf numFmtId="9" fontId="0" fillId="0" borderId="0" xfId="1" applyNumberFormat="1" applyFont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>
      <selection activeCell="I30" sqref="I30"/>
    </sheetView>
  </sheetViews>
  <sheetFormatPr defaultRowHeight="15" x14ac:dyDescent="0.25"/>
  <cols>
    <col min="4" max="4" width="21.7109375" customWidth="1"/>
  </cols>
  <sheetData>
    <row r="1" spans="2:5" x14ac:dyDescent="0.25">
      <c r="B1" t="s">
        <v>47</v>
      </c>
    </row>
    <row r="2" spans="2:5" x14ac:dyDescent="0.25">
      <c r="B2" t="s">
        <v>48</v>
      </c>
    </row>
    <row r="4" spans="2:5" x14ac:dyDescent="0.25">
      <c r="B4" s="82"/>
      <c r="C4" s="82" t="s">
        <v>4</v>
      </c>
      <c r="D4" s="82"/>
      <c r="E4" s="83" t="s">
        <v>50</v>
      </c>
    </row>
    <row r="5" spans="2:5" x14ac:dyDescent="0.25">
      <c r="B5">
        <v>1</v>
      </c>
      <c r="C5">
        <v>2017</v>
      </c>
      <c r="D5" t="s">
        <v>49</v>
      </c>
      <c r="E5" s="81">
        <f>'1_KIT'!H9</f>
        <v>29.495699999999999</v>
      </c>
    </row>
    <row r="6" spans="2:5" x14ac:dyDescent="0.25">
      <c r="B6">
        <v>2</v>
      </c>
      <c r="C6">
        <v>2017</v>
      </c>
      <c r="D6" t="s">
        <v>51</v>
      </c>
      <c r="E6" s="81">
        <f>'2_AdoptionRateSeedSalesCIAT'!H24</f>
        <v>220.53001215</v>
      </c>
    </row>
    <row r="7" spans="2:5" x14ac:dyDescent="0.25">
      <c r="B7" s="82">
        <v>3</v>
      </c>
      <c r="C7" s="82">
        <v>2017</v>
      </c>
      <c r="D7" s="82" t="s">
        <v>52</v>
      </c>
      <c r="E7" s="84">
        <f>'3_AdoptionDualPurpGroundnutILRI'!H33</f>
        <v>149.84146770000001</v>
      </c>
    </row>
    <row r="8" spans="2:5" x14ac:dyDescent="0.25">
      <c r="E8" s="81">
        <f>SUM(E5:E7)</f>
        <v>399.86717985000001</v>
      </c>
    </row>
    <row r="10" spans="2:5" x14ac:dyDescent="0.25">
      <c r="B10">
        <v>4</v>
      </c>
      <c r="C10">
        <v>2018</v>
      </c>
      <c r="D10" t="s">
        <v>53</v>
      </c>
      <c r="E10" s="81">
        <f>'4_ForageImpactILRI'!H15</f>
        <v>200.35267199999998</v>
      </c>
    </row>
    <row r="11" spans="2:5" x14ac:dyDescent="0.25">
      <c r="B11">
        <v>5</v>
      </c>
      <c r="C11">
        <v>2018</v>
      </c>
      <c r="D11" t="s">
        <v>54</v>
      </c>
      <c r="E11" s="81">
        <f>'5_NapierVarietiesILRI'!H17</f>
        <v>230.1329394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F15" sqref="F15"/>
    </sheetView>
  </sheetViews>
  <sheetFormatPr defaultRowHeight="15" x14ac:dyDescent="0.25"/>
  <cols>
    <col min="1" max="1" width="38.85546875" customWidth="1"/>
    <col min="2" max="2" width="13.140625" customWidth="1"/>
    <col min="3" max="8" width="14.7109375" customWidth="1"/>
  </cols>
  <sheetData>
    <row r="3" spans="1:8" ht="30.75" thickBot="1" x14ac:dyDescent="0.3">
      <c r="A3" s="1" t="s">
        <v>9</v>
      </c>
      <c r="B3" s="1" t="s">
        <v>1</v>
      </c>
      <c r="C3" s="3" t="s">
        <v>2</v>
      </c>
      <c r="D3" s="3" t="s">
        <v>56</v>
      </c>
      <c r="E3" s="3" t="s">
        <v>3</v>
      </c>
      <c r="F3" s="3" t="s">
        <v>37</v>
      </c>
      <c r="G3" s="3" t="s">
        <v>10</v>
      </c>
      <c r="H3" s="3" t="s">
        <v>11</v>
      </c>
    </row>
    <row r="4" spans="1:8" ht="15.75" thickTop="1" x14ac:dyDescent="0.25">
      <c r="A4" s="10" t="s">
        <v>40</v>
      </c>
      <c r="B4" s="10" t="s">
        <v>55</v>
      </c>
      <c r="C4" s="11">
        <v>1.01</v>
      </c>
      <c r="D4" s="23">
        <v>7</v>
      </c>
      <c r="E4" s="23">
        <f>C4*D4</f>
        <v>7.07</v>
      </c>
      <c r="F4" s="85">
        <v>14</v>
      </c>
      <c r="G4" s="24">
        <f>C4*F4</f>
        <v>14.14</v>
      </c>
      <c r="H4" s="24">
        <f>E4+G4</f>
        <v>21.21</v>
      </c>
    </row>
    <row r="5" spans="1:8" x14ac:dyDescent="0.25">
      <c r="A5" s="5" t="s">
        <v>41</v>
      </c>
      <c r="B5" s="5" t="s">
        <v>15</v>
      </c>
      <c r="C5" s="14">
        <v>2</v>
      </c>
      <c r="D5" s="14">
        <v>1</v>
      </c>
      <c r="E5" s="25">
        <f t="shared" ref="E5" si="0">C5*D5</f>
        <v>2</v>
      </c>
      <c r="F5" s="14">
        <v>1</v>
      </c>
      <c r="G5" s="24">
        <f>C5*F5</f>
        <v>2</v>
      </c>
      <c r="H5" s="24">
        <f t="shared" ref="H5" si="1">E5+G5</f>
        <v>4</v>
      </c>
    </row>
    <row r="6" spans="1:8" s="79" customFormat="1" ht="15.75" thickBot="1" x14ac:dyDescent="0.3">
      <c r="A6" s="74"/>
      <c r="B6" s="74"/>
      <c r="C6" s="75"/>
      <c r="D6" s="76"/>
      <c r="E6" s="77"/>
      <c r="F6" s="76"/>
      <c r="G6" s="78"/>
      <c r="H6" s="78"/>
    </row>
    <row r="7" spans="1:8" x14ac:dyDescent="0.25">
      <c r="A7" s="5" t="s">
        <v>7</v>
      </c>
      <c r="B7" s="5"/>
      <c r="C7" s="14"/>
      <c r="D7" s="14"/>
      <c r="E7" s="27">
        <f>SUM(E4:E6)</f>
        <v>9.07</v>
      </c>
      <c r="F7" s="16"/>
      <c r="G7" s="27">
        <f>SUM(G4:G6)</f>
        <v>16.14</v>
      </c>
      <c r="H7" s="27">
        <f>SUM(H4:H6)</f>
        <v>25.21</v>
      </c>
    </row>
    <row r="8" spans="1:8" ht="15.75" thickBot="1" x14ac:dyDescent="0.3">
      <c r="A8" s="7" t="s">
        <v>57</v>
      </c>
      <c r="B8" s="7"/>
      <c r="C8" s="76">
        <v>0.17</v>
      </c>
      <c r="D8" s="17"/>
      <c r="E8" s="28">
        <f>$C$8*E7</f>
        <v>1.5419</v>
      </c>
      <c r="F8" s="18"/>
      <c r="G8" s="28">
        <f>$C$8*G7</f>
        <v>2.7438000000000002</v>
      </c>
      <c r="H8" s="28">
        <f>C8*H7</f>
        <v>4.2857000000000003</v>
      </c>
    </row>
    <row r="9" spans="1:8" ht="15.75" thickBot="1" x14ac:dyDescent="0.3">
      <c r="A9" s="1" t="s">
        <v>8</v>
      </c>
      <c r="B9" s="1"/>
      <c r="C9" s="3"/>
      <c r="D9" s="3"/>
      <c r="E9" s="29">
        <f>SUM(E7:E8)</f>
        <v>10.6119</v>
      </c>
      <c r="F9" s="19"/>
      <c r="G9" s="29">
        <f>SUM(G7:G8)</f>
        <v>18.883800000000001</v>
      </c>
      <c r="H9" s="29">
        <f>SUM(H7:H8)</f>
        <v>29.495699999999999</v>
      </c>
    </row>
    <row r="10" spans="1:8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K14" sqref="K14"/>
    </sheetView>
  </sheetViews>
  <sheetFormatPr defaultRowHeight="15" x14ac:dyDescent="0.25"/>
  <cols>
    <col min="1" max="1" width="36.28515625" style="4" customWidth="1"/>
    <col min="2" max="2" width="15.85546875" style="4" customWidth="1"/>
    <col min="3" max="3" width="9.85546875" style="4" bestFit="1" customWidth="1"/>
    <col min="4" max="4" width="10" style="4" bestFit="1" customWidth="1"/>
    <col min="5" max="5" width="11.5703125" style="4" bestFit="1" customWidth="1"/>
    <col min="6" max="6" width="11" style="4" bestFit="1" customWidth="1"/>
    <col min="7" max="7" width="11.5703125" style="4" bestFit="1" customWidth="1"/>
    <col min="8" max="8" width="9.85546875" style="4" bestFit="1" customWidth="1"/>
    <col min="9" max="9" width="7" style="4" customWidth="1"/>
    <col min="10" max="11" width="9.85546875" style="4" bestFit="1" customWidth="1"/>
    <col min="12" max="12" width="12.28515625" style="4" bestFit="1" customWidth="1"/>
    <col min="13" max="16384" width="9.140625" style="4"/>
  </cols>
  <sheetData>
    <row r="1" spans="1:15" ht="30.75" thickBot="1" x14ac:dyDescent="0.3">
      <c r="A1" s="1" t="s">
        <v>0</v>
      </c>
      <c r="B1" s="1" t="s">
        <v>1</v>
      </c>
      <c r="C1" s="3" t="s">
        <v>2</v>
      </c>
      <c r="D1" s="3" t="s">
        <v>36</v>
      </c>
      <c r="E1" s="3" t="s">
        <v>3</v>
      </c>
      <c r="F1" s="3" t="s">
        <v>37</v>
      </c>
      <c r="G1" s="3" t="s">
        <v>10</v>
      </c>
      <c r="H1" s="3" t="s">
        <v>11</v>
      </c>
      <c r="I1" s="13"/>
      <c r="J1" s="88" t="s">
        <v>60</v>
      </c>
      <c r="K1" s="88" t="s">
        <v>61</v>
      </c>
      <c r="L1" s="88" t="s">
        <v>64</v>
      </c>
    </row>
    <row r="2" spans="1:15" ht="15.75" thickTop="1" x14ac:dyDescent="0.25">
      <c r="A2" s="10" t="s">
        <v>96</v>
      </c>
      <c r="B2" s="10" t="s">
        <v>4</v>
      </c>
      <c r="C2" s="11">
        <v>136.5</v>
      </c>
      <c r="D2" s="126">
        <v>0.04</v>
      </c>
      <c r="E2" s="23">
        <f>C2*D2</f>
        <v>5.46</v>
      </c>
      <c r="F2" s="126">
        <v>0.1</v>
      </c>
      <c r="G2" s="24">
        <f>1.05*C2*F2</f>
        <v>14.332500000000003</v>
      </c>
      <c r="H2" s="24">
        <f>E2+G2</f>
        <v>19.792500000000004</v>
      </c>
      <c r="I2" s="24"/>
    </row>
    <row r="3" spans="1:15" x14ac:dyDescent="0.25">
      <c r="A3" s="12" t="s">
        <v>97</v>
      </c>
      <c r="B3" s="12" t="s">
        <v>4</v>
      </c>
      <c r="C3" s="13">
        <v>102.3</v>
      </c>
      <c r="D3" s="98">
        <v>0.05</v>
      </c>
      <c r="E3" s="25">
        <f>C3*D3</f>
        <v>5.1150000000000002</v>
      </c>
      <c r="F3" s="98">
        <v>0.1</v>
      </c>
      <c r="G3" s="24">
        <f t="shared" ref="G3:G7" si="0">1.05*C3*F3</f>
        <v>10.741500000000002</v>
      </c>
      <c r="H3" s="24">
        <f t="shared" ref="H3:H17" si="1">E3+G3</f>
        <v>15.856500000000002</v>
      </c>
      <c r="I3" s="24"/>
    </row>
    <row r="4" spans="1:15" x14ac:dyDescent="0.25">
      <c r="A4" s="5" t="s">
        <v>42</v>
      </c>
      <c r="B4" s="12" t="s">
        <v>4</v>
      </c>
      <c r="C4" s="14">
        <v>194.1</v>
      </c>
      <c r="D4" s="127">
        <v>0.01</v>
      </c>
      <c r="E4" s="25">
        <f>C4*D4</f>
        <v>1.9410000000000001</v>
      </c>
      <c r="F4" s="15">
        <v>0.02</v>
      </c>
      <c r="G4" s="24">
        <f>1.05*C4*F4</f>
        <v>4.0761000000000003</v>
      </c>
      <c r="H4" s="24">
        <f>E4+G4</f>
        <v>6.0171000000000001</v>
      </c>
      <c r="I4" s="24"/>
      <c r="J4" s="54">
        <v>3.4</v>
      </c>
      <c r="K4" s="56">
        <v>3.5409999999999999</v>
      </c>
      <c r="L4" s="4">
        <v>1</v>
      </c>
    </row>
    <row r="5" spans="1:15" x14ac:dyDescent="0.25">
      <c r="A5" s="5" t="s">
        <v>98</v>
      </c>
      <c r="B5" s="12" t="s">
        <v>4</v>
      </c>
      <c r="C5" s="14">
        <v>23.1</v>
      </c>
      <c r="D5" s="127">
        <v>0.1</v>
      </c>
      <c r="E5" s="25">
        <f>C5*D5</f>
        <v>2.31</v>
      </c>
      <c r="F5" s="15">
        <v>0.5</v>
      </c>
      <c r="G5" s="24">
        <f t="shared" si="0"/>
        <v>12.127500000000001</v>
      </c>
      <c r="H5" s="24">
        <f t="shared" si="1"/>
        <v>14.437500000000002</v>
      </c>
      <c r="I5" s="24"/>
    </row>
    <row r="6" spans="1:15" x14ac:dyDescent="0.25">
      <c r="A6" s="5" t="s">
        <v>99</v>
      </c>
      <c r="B6" s="12" t="s">
        <v>4</v>
      </c>
      <c r="C6" s="14">
        <v>17.8</v>
      </c>
      <c r="D6" s="127">
        <v>0.1</v>
      </c>
      <c r="E6" s="25">
        <f>C6*D6</f>
        <v>1.7800000000000002</v>
      </c>
      <c r="F6" s="15">
        <v>0.5</v>
      </c>
      <c r="G6" s="24">
        <f t="shared" si="0"/>
        <v>9.3450000000000006</v>
      </c>
      <c r="H6" s="24">
        <f t="shared" si="1"/>
        <v>11.125</v>
      </c>
      <c r="I6" s="24"/>
    </row>
    <row r="7" spans="1:15" x14ac:dyDescent="0.25">
      <c r="A7" s="5" t="s">
        <v>100</v>
      </c>
      <c r="B7" s="12" t="s">
        <v>4</v>
      </c>
      <c r="C7" s="14">
        <v>14.1</v>
      </c>
      <c r="D7" s="127">
        <v>0.08</v>
      </c>
      <c r="E7" s="25">
        <f>C7*D7</f>
        <v>1.1279999999999999</v>
      </c>
      <c r="F7" s="15">
        <v>0.3</v>
      </c>
      <c r="G7" s="24">
        <f t="shared" si="0"/>
        <v>4.4414999999999996</v>
      </c>
      <c r="H7" s="24">
        <f t="shared" si="1"/>
        <v>5.5694999999999997</v>
      </c>
      <c r="I7" s="24"/>
    </row>
    <row r="8" spans="1:15" s="96" customFormat="1" x14ac:dyDescent="0.25">
      <c r="A8" s="93" t="s">
        <v>6</v>
      </c>
      <c r="B8" s="93" t="s">
        <v>12</v>
      </c>
      <c r="C8" s="128">
        <f>0.75*120</f>
        <v>90</v>
      </c>
      <c r="D8" s="129">
        <v>0</v>
      </c>
      <c r="E8" s="94">
        <f>C8*D8</f>
        <v>0</v>
      </c>
      <c r="F8" s="129">
        <v>1</v>
      </c>
      <c r="G8" s="95">
        <f>C8*F8</f>
        <v>90</v>
      </c>
      <c r="H8" s="95">
        <f>E8+G8</f>
        <v>90</v>
      </c>
      <c r="I8" s="95"/>
    </row>
    <row r="9" spans="1:15" x14ac:dyDescent="0.25">
      <c r="A9" s="5" t="s">
        <v>38</v>
      </c>
      <c r="B9" s="5" t="s">
        <v>5</v>
      </c>
      <c r="C9" s="6">
        <v>5</v>
      </c>
      <c r="D9" s="14">
        <v>0</v>
      </c>
      <c r="E9" s="25">
        <f>C9*D9</f>
        <v>0</v>
      </c>
      <c r="F9" s="14">
        <v>1</v>
      </c>
      <c r="G9" s="24">
        <f>C9*F9</f>
        <v>5</v>
      </c>
      <c r="H9" s="24">
        <f>E9+G9</f>
        <v>5</v>
      </c>
      <c r="I9" s="24"/>
    </row>
    <row r="10" spans="1:15" x14ac:dyDescent="0.25">
      <c r="A10" s="5" t="s">
        <v>39</v>
      </c>
      <c r="B10" s="5" t="s">
        <v>4</v>
      </c>
      <c r="C10" s="6">
        <v>5</v>
      </c>
      <c r="D10" s="14">
        <v>0.25</v>
      </c>
      <c r="E10" s="25">
        <f>C10*D10</f>
        <v>1.25</v>
      </c>
      <c r="F10" s="14">
        <v>1</v>
      </c>
      <c r="G10" s="24">
        <f>C10*F10</f>
        <v>5</v>
      </c>
      <c r="H10" s="24">
        <f>E10+G10</f>
        <v>6.25</v>
      </c>
      <c r="I10" s="24"/>
    </row>
    <row r="11" spans="1:15" ht="15.75" thickBot="1" x14ac:dyDescent="0.3">
      <c r="A11" s="7"/>
      <c r="B11" s="7"/>
      <c r="C11" s="17"/>
      <c r="D11" s="17"/>
      <c r="E11" s="69"/>
      <c r="F11" s="17"/>
      <c r="G11" s="37"/>
      <c r="H11" s="37"/>
      <c r="I11" s="24"/>
    </row>
    <row r="12" spans="1:15" x14ac:dyDescent="0.25">
      <c r="A12" s="12" t="s">
        <v>73</v>
      </c>
      <c r="B12" s="72" t="s">
        <v>31</v>
      </c>
      <c r="C12" s="87"/>
      <c r="D12" s="99"/>
      <c r="E12" s="100">
        <f>SUMPRODUCT(D2:D7,J2:J7)</f>
        <v>3.4000000000000002E-2</v>
      </c>
      <c r="F12" s="99"/>
      <c r="G12" s="100">
        <f>SUMPRODUCT(F2:F7,J2:J7)</f>
        <v>6.8000000000000005E-2</v>
      </c>
      <c r="H12" s="101">
        <f>E12+G12</f>
        <v>0.10200000000000001</v>
      </c>
      <c r="I12" s="101"/>
      <c r="J12" s="38"/>
    </row>
    <row r="13" spans="1:15" x14ac:dyDescent="0.25">
      <c r="A13" s="12" t="s">
        <v>71</v>
      </c>
      <c r="B13" s="72" t="s">
        <v>31</v>
      </c>
      <c r="C13" s="87"/>
      <c r="D13" s="99"/>
      <c r="E13" s="100">
        <f>SUMPRODUCT(D2:D7,K2:K7)</f>
        <v>3.5409999999999997E-2</v>
      </c>
      <c r="F13" s="99"/>
      <c r="G13" s="100">
        <f>SUMPRODUCT(F2:F7,K2:K7)</f>
        <v>7.0819999999999994E-2</v>
      </c>
      <c r="H13" s="101">
        <f t="shared" ref="H13:H14" si="2">E13+G13</f>
        <v>0.10622999999999999</v>
      </c>
      <c r="I13" s="101"/>
      <c r="J13" s="38"/>
    </row>
    <row r="14" spans="1:15" ht="15.75" thickBot="1" x14ac:dyDescent="0.3">
      <c r="A14" s="7" t="s">
        <v>72</v>
      </c>
      <c r="B14" s="73" t="s">
        <v>32</v>
      </c>
      <c r="C14" s="51"/>
      <c r="D14" s="102">
        <v>0.15</v>
      </c>
      <c r="E14" s="103">
        <f>D14*SUMPRODUCT(E2:E7,L2:L7)</f>
        <v>0.29115000000000002</v>
      </c>
      <c r="F14" s="102">
        <v>0.15</v>
      </c>
      <c r="G14" s="103">
        <f>F14*SUMPRODUCT(G2:G7,L2:L7)</f>
        <v>0.61141500000000004</v>
      </c>
      <c r="H14" s="103">
        <f t="shared" si="2"/>
        <v>0.90256500000000006</v>
      </c>
      <c r="I14" s="100"/>
      <c r="J14" s="38"/>
    </row>
    <row r="15" spans="1:15" x14ac:dyDescent="0.25">
      <c r="A15" s="12" t="s">
        <v>68</v>
      </c>
      <c r="B15" s="12"/>
      <c r="C15" s="13"/>
      <c r="D15" s="98"/>
      <c r="E15" s="25">
        <f>0.75*1.98</f>
        <v>1.4849999999999999</v>
      </c>
      <c r="F15" s="98"/>
      <c r="G15" s="24">
        <f>0.75*6.6</f>
        <v>4.9499999999999993</v>
      </c>
      <c r="H15" s="24">
        <f>E15+G15</f>
        <v>6.4349999999999987</v>
      </c>
      <c r="I15" s="24"/>
      <c r="M15" s="39">
        <f>E15/SUM(E2:E3,E5:E7)</f>
        <v>9.4029000189957579E-2</v>
      </c>
      <c r="N15" s="97"/>
      <c r="O15" s="97">
        <f>G15/SUM(G2:G3,G5:G7)</f>
        <v>9.7081666274417486E-2</v>
      </c>
    </row>
    <row r="16" spans="1:15" x14ac:dyDescent="0.25">
      <c r="A16" s="5" t="s">
        <v>69</v>
      </c>
      <c r="B16" s="12"/>
      <c r="C16" s="14"/>
      <c r="D16" s="15"/>
      <c r="E16" s="25">
        <f>0.75*2.71775</f>
        <v>2.0383125</v>
      </c>
      <c r="F16" s="15"/>
      <c r="G16" s="24">
        <f>0.75*8.99425</f>
        <v>6.7456874999999989</v>
      </c>
      <c r="H16" s="24">
        <f t="shared" si="1"/>
        <v>8.7839999999999989</v>
      </c>
      <c r="I16" s="24"/>
      <c r="M16" s="39">
        <f>E16/SUM(E2:E3,E5:E7)</f>
        <v>0.12906430063952384</v>
      </c>
      <c r="O16" s="39">
        <f>G16/SUM(G2:G3,G5:G7)</f>
        <v>0.13229951164979992</v>
      </c>
    </row>
    <row r="17" spans="1:15" ht="15.75" thickBot="1" x14ac:dyDescent="0.3">
      <c r="A17" s="7" t="s">
        <v>70</v>
      </c>
      <c r="B17" s="7"/>
      <c r="C17" s="17"/>
      <c r="D17" s="26"/>
      <c r="E17" s="69">
        <f>0.75*3.95</f>
        <v>2.9625000000000004</v>
      </c>
      <c r="F17" s="26"/>
      <c r="G17" s="37">
        <f>0.75*6.6</f>
        <v>4.9499999999999993</v>
      </c>
      <c r="H17" s="37">
        <f t="shared" si="1"/>
        <v>7.9124999999999996</v>
      </c>
      <c r="I17" s="24"/>
      <c r="M17" s="39">
        <f>E17/SUM(E2:E3,E5:E7)</f>
        <v>0.18758310643956186</v>
      </c>
      <c r="O17" s="39">
        <f>G17/SUM(G2:G3,G5:G7)</f>
        <v>9.7081666274417486E-2</v>
      </c>
    </row>
    <row r="18" spans="1:15" x14ac:dyDescent="0.25">
      <c r="A18" s="5" t="s">
        <v>84</v>
      </c>
      <c r="B18" s="5"/>
      <c r="C18" s="14"/>
      <c r="D18" s="14"/>
      <c r="E18" s="27">
        <f>SUM(E4,E12:E14)</f>
        <v>2.3015600000000003</v>
      </c>
      <c r="F18" s="16"/>
      <c r="G18" s="27">
        <f>SUM(G4,G12:G14)</f>
        <v>4.8263350000000003</v>
      </c>
      <c r="H18" s="27">
        <f>SUM(H4,H12:H14)</f>
        <v>7.1278950000000005</v>
      </c>
      <c r="I18" s="27"/>
    </row>
    <row r="19" spans="1:15" x14ac:dyDescent="0.25">
      <c r="A19" s="5" t="s">
        <v>62</v>
      </c>
      <c r="B19" s="5"/>
      <c r="C19" s="15">
        <v>0.17</v>
      </c>
      <c r="D19" s="14"/>
      <c r="E19" s="27">
        <f>$C$19*E18</f>
        <v>0.39126520000000009</v>
      </c>
      <c r="F19" s="16"/>
      <c r="G19" s="27">
        <f>$C$19*G18</f>
        <v>0.82047695000000009</v>
      </c>
      <c r="H19" s="27">
        <f>$C$19*H18</f>
        <v>1.2117421500000001</v>
      </c>
      <c r="I19" s="27"/>
    </row>
    <row r="20" spans="1:15" ht="15.75" thickBot="1" x14ac:dyDescent="0.3">
      <c r="A20" s="5" t="s">
        <v>86</v>
      </c>
      <c r="B20" s="5"/>
      <c r="C20" s="15"/>
      <c r="D20" s="14"/>
      <c r="E20" s="27">
        <f>E18+E19</f>
        <v>2.6928252000000006</v>
      </c>
      <c r="F20" s="16"/>
      <c r="G20" s="27">
        <f>G18+G19</f>
        <v>5.64681195</v>
      </c>
      <c r="H20" s="27">
        <f>H18+H19</f>
        <v>8.3396371500000015</v>
      </c>
      <c r="I20" s="27"/>
    </row>
    <row r="21" spans="1:15" x14ac:dyDescent="0.25">
      <c r="A21" s="47" t="s">
        <v>83</v>
      </c>
      <c r="B21" s="47"/>
      <c r="C21" s="118"/>
      <c r="D21" s="119"/>
      <c r="E21" s="120">
        <f>SUM(E2:E3,E5:E10,E15:E17)</f>
        <v>23.528812500000001</v>
      </c>
      <c r="F21" s="121"/>
      <c r="G21" s="120">
        <f>SUM(G2:G3,G5:G10,G15:G17)</f>
        <v>167.63368749999998</v>
      </c>
      <c r="H21" s="120">
        <f>SUM(H2:H3,H5:H10,H15:H17)</f>
        <v>191.16249999999999</v>
      </c>
      <c r="I21" s="27"/>
    </row>
    <row r="22" spans="1:15" x14ac:dyDescent="0.25">
      <c r="A22" s="12" t="s">
        <v>75</v>
      </c>
      <c r="B22" s="12"/>
      <c r="C22" s="98">
        <v>0.11</v>
      </c>
      <c r="D22" s="13"/>
      <c r="E22" s="104">
        <f>$C$22*E21</f>
        <v>2.5881693750000001</v>
      </c>
      <c r="F22" s="117"/>
      <c r="G22" s="104">
        <f>$C$22*G21</f>
        <v>18.439705624999998</v>
      </c>
      <c r="H22" s="104">
        <f>$C$22*H21</f>
        <v>21.027874999999998</v>
      </c>
      <c r="I22" s="104"/>
    </row>
    <row r="23" spans="1:15" ht="15.75" thickBot="1" x14ac:dyDescent="0.3">
      <c r="A23" s="12" t="s">
        <v>85</v>
      </c>
      <c r="B23" s="12"/>
      <c r="C23" s="98"/>
      <c r="D23" s="13"/>
      <c r="E23" s="104">
        <f>E21+E22</f>
        <v>26.116981875</v>
      </c>
      <c r="F23" s="117"/>
      <c r="G23" s="104">
        <f>G21+G22</f>
        <v>186.07339312499997</v>
      </c>
      <c r="H23" s="104">
        <f>H21+H22</f>
        <v>212.19037499999999</v>
      </c>
      <c r="I23" s="104"/>
    </row>
    <row r="24" spans="1:15" ht="16.5" thickTop="1" thickBot="1" x14ac:dyDescent="0.3">
      <c r="A24" s="122" t="s">
        <v>87</v>
      </c>
      <c r="B24" s="122"/>
      <c r="C24" s="123"/>
      <c r="D24" s="123"/>
      <c r="E24" s="124">
        <f>E20+E23</f>
        <v>28.809807075000002</v>
      </c>
      <c r="F24" s="125"/>
      <c r="G24" s="124">
        <f>G20+G23</f>
        <v>191.72020507499997</v>
      </c>
      <c r="H24" s="124">
        <f>H20+H23</f>
        <v>220.53001215</v>
      </c>
      <c r="I24" s="105"/>
      <c r="J24" s="36"/>
    </row>
    <row r="25" spans="1:15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6" workbookViewId="0">
      <selection activeCell="D6" sqref="D6"/>
    </sheetView>
  </sheetViews>
  <sheetFormatPr defaultColWidth="33.85546875" defaultRowHeight="15" x14ac:dyDescent="0.25"/>
  <cols>
    <col min="1" max="1" width="50.85546875" style="4" customWidth="1"/>
    <col min="2" max="2" width="18" style="31" customWidth="1"/>
    <col min="3" max="3" width="12.5703125" style="4" customWidth="1"/>
    <col min="4" max="8" width="13.85546875" style="4" customWidth="1"/>
    <col min="9" max="9" width="8.7109375" style="4" customWidth="1"/>
    <col min="10" max="10" width="11.85546875" style="33" customWidth="1"/>
    <col min="11" max="11" width="10.85546875" style="4" customWidth="1"/>
    <col min="12" max="12" width="12.140625" style="4" customWidth="1"/>
    <col min="13" max="13" width="7.85546875" style="4" customWidth="1"/>
    <col min="14" max="14" width="7.5703125" style="4" customWidth="1"/>
    <col min="15" max="16384" width="33.85546875" style="4"/>
  </cols>
  <sheetData>
    <row r="1" spans="1:14" ht="30.75" thickBot="1" x14ac:dyDescent="0.3">
      <c r="A1" s="1" t="s">
        <v>9</v>
      </c>
      <c r="B1" s="3" t="s">
        <v>1</v>
      </c>
      <c r="C1" s="3" t="s">
        <v>2</v>
      </c>
      <c r="D1" s="3" t="s">
        <v>20</v>
      </c>
      <c r="E1" s="3" t="s">
        <v>3</v>
      </c>
      <c r="F1" s="3" t="s">
        <v>21</v>
      </c>
      <c r="G1" s="3" t="s">
        <v>10</v>
      </c>
      <c r="H1" s="3" t="s">
        <v>11</v>
      </c>
      <c r="I1" s="13"/>
      <c r="J1" s="88" t="s">
        <v>79</v>
      </c>
      <c r="K1" s="88" t="s">
        <v>80</v>
      </c>
      <c r="L1" s="88" t="s">
        <v>81</v>
      </c>
      <c r="M1" s="88" t="s">
        <v>82</v>
      </c>
      <c r="N1" s="88" t="s">
        <v>94</v>
      </c>
    </row>
    <row r="2" spans="1:14" ht="15.75" thickTop="1" x14ac:dyDescent="0.25">
      <c r="A2" s="10" t="s">
        <v>44</v>
      </c>
      <c r="B2" s="30" t="s">
        <v>4</v>
      </c>
      <c r="C2" s="54">
        <v>194.1</v>
      </c>
      <c r="D2" s="53">
        <v>0.03</v>
      </c>
      <c r="E2" s="54">
        <f>C2*D2</f>
        <v>5.8229999999999995</v>
      </c>
      <c r="F2" s="55">
        <v>0.08</v>
      </c>
      <c r="G2" s="56">
        <f>C2*F2</f>
        <v>15.528</v>
      </c>
      <c r="H2" s="57">
        <f>E2+G2</f>
        <v>21.350999999999999</v>
      </c>
      <c r="I2" s="57"/>
      <c r="J2" s="54">
        <v>3.4</v>
      </c>
      <c r="K2" s="56">
        <v>3.5409999999999999</v>
      </c>
      <c r="L2" s="4">
        <v>1</v>
      </c>
    </row>
    <row r="3" spans="1:14" x14ac:dyDescent="0.25">
      <c r="A3" s="5" t="s">
        <v>45</v>
      </c>
      <c r="B3" s="20" t="s">
        <v>4</v>
      </c>
      <c r="C3" s="59">
        <v>16.100000000000001</v>
      </c>
      <c r="D3" s="58">
        <v>0.05</v>
      </c>
      <c r="E3" s="59">
        <f>C3*D3</f>
        <v>0.80500000000000016</v>
      </c>
      <c r="F3" s="55">
        <v>0.2</v>
      </c>
      <c r="G3" s="56">
        <f t="shared" ref="G3:G14" si="0">C3*F3</f>
        <v>3.2200000000000006</v>
      </c>
      <c r="H3" s="57">
        <f t="shared" ref="H3:H23" si="1">E3+G3</f>
        <v>4.0250000000000004</v>
      </c>
      <c r="I3" s="57"/>
      <c r="J3" s="54">
        <v>1.7</v>
      </c>
      <c r="K3" s="56">
        <v>7.5</v>
      </c>
    </row>
    <row r="4" spans="1:14" x14ac:dyDescent="0.25">
      <c r="A4" s="5" t="s">
        <v>46</v>
      </c>
      <c r="B4" s="20" t="s">
        <v>4</v>
      </c>
      <c r="C4" s="59">
        <v>31.4</v>
      </c>
      <c r="D4" s="58">
        <v>0.05</v>
      </c>
      <c r="E4" s="59">
        <f t="shared" ref="E4" si="2">C4*D4</f>
        <v>1.57</v>
      </c>
      <c r="F4" s="55">
        <v>0.18</v>
      </c>
      <c r="G4" s="56">
        <f t="shared" si="0"/>
        <v>5.6519999999999992</v>
      </c>
      <c r="H4" s="57">
        <f t="shared" si="1"/>
        <v>7.2219999999999995</v>
      </c>
      <c r="I4" s="57"/>
      <c r="J4" s="54">
        <v>3.4</v>
      </c>
      <c r="K4" s="56">
        <v>2.661</v>
      </c>
    </row>
    <row r="5" spans="1:14" x14ac:dyDescent="0.25">
      <c r="A5" s="5" t="s">
        <v>43</v>
      </c>
      <c r="B5" s="20" t="s">
        <v>4</v>
      </c>
      <c r="C5" s="59">
        <v>141</v>
      </c>
      <c r="D5" s="58">
        <v>0.01</v>
      </c>
      <c r="E5" s="59">
        <f>C5*D5</f>
        <v>1.41</v>
      </c>
      <c r="F5" s="55">
        <v>0.03</v>
      </c>
      <c r="G5" s="56">
        <f>C5*F5</f>
        <v>4.2299999999999995</v>
      </c>
      <c r="H5" s="57">
        <f>E5+G5</f>
        <v>5.64</v>
      </c>
      <c r="I5" s="57"/>
      <c r="J5" s="54">
        <v>1.7</v>
      </c>
      <c r="K5" s="56">
        <v>7.5</v>
      </c>
      <c r="L5" s="4">
        <v>1</v>
      </c>
    </row>
    <row r="6" spans="1:14" x14ac:dyDescent="0.25">
      <c r="A6" s="108" t="s">
        <v>74</v>
      </c>
      <c r="B6" s="20" t="s">
        <v>4</v>
      </c>
      <c r="C6" s="115">
        <v>150</v>
      </c>
      <c r="D6" s="58">
        <v>0.01</v>
      </c>
      <c r="E6" s="59">
        <f>C6*D6</f>
        <v>1.5</v>
      </c>
      <c r="F6" s="55">
        <v>0.03</v>
      </c>
      <c r="G6" s="56">
        <f>C6*F6</f>
        <v>4.5</v>
      </c>
      <c r="H6" s="57">
        <f>E6+G6</f>
        <v>6</v>
      </c>
      <c r="I6" s="57"/>
      <c r="J6" s="54"/>
      <c r="K6" s="56"/>
      <c r="M6" s="4">
        <v>1</v>
      </c>
    </row>
    <row r="7" spans="1:14" x14ac:dyDescent="0.25">
      <c r="A7" s="108" t="s">
        <v>95</v>
      </c>
      <c r="B7" s="20" t="s">
        <v>4</v>
      </c>
      <c r="C7" s="115">
        <v>30</v>
      </c>
      <c r="D7" s="58">
        <v>0.05</v>
      </c>
      <c r="E7" s="59">
        <f>C7*D7</f>
        <v>1.5</v>
      </c>
      <c r="F7" s="55">
        <v>0.2</v>
      </c>
      <c r="G7" s="56">
        <f>C7*F7</f>
        <v>6</v>
      </c>
      <c r="H7" s="57">
        <f>E7+G7</f>
        <v>7.5</v>
      </c>
      <c r="I7" s="57"/>
      <c r="J7" s="54"/>
      <c r="K7" s="56"/>
      <c r="N7" s="4">
        <v>1</v>
      </c>
    </row>
    <row r="8" spans="1:14" x14ac:dyDescent="0.25">
      <c r="A8" s="5" t="s">
        <v>65</v>
      </c>
      <c r="B8" s="20" t="s">
        <v>4</v>
      </c>
      <c r="C8" s="59">
        <v>82.7</v>
      </c>
      <c r="D8" s="58">
        <v>0.02</v>
      </c>
      <c r="E8" s="59">
        <f>C8*D8</f>
        <v>1.6540000000000001</v>
      </c>
      <c r="F8" s="55">
        <v>0.04</v>
      </c>
      <c r="G8" s="56">
        <f t="shared" ref="G8" si="3">C8*F8</f>
        <v>3.3080000000000003</v>
      </c>
      <c r="H8" s="57">
        <f t="shared" ref="H8" si="4">E8+G8</f>
        <v>4.9620000000000006</v>
      </c>
      <c r="I8" s="57"/>
      <c r="J8" s="54">
        <v>3.4</v>
      </c>
      <c r="K8" s="56">
        <v>2.8959999999999999</v>
      </c>
    </row>
    <row r="9" spans="1:14" x14ac:dyDescent="0.25">
      <c r="A9" s="5" t="s">
        <v>58</v>
      </c>
      <c r="B9" s="20" t="s">
        <v>4</v>
      </c>
      <c r="C9" s="59">
        <v>33.4</v>
      </c>
      <c r="D9" s="58">
        <v>0.02</v>
      </c>
      <c r="E9" s="59">
        <f>C9*D9</f>
        <v>0.66800000000000004</v>
      </c>
      <c r="F9" s="55">
        <v>0.04</v>
      </c>
      <c r="G9" s="56">
        <f t="shared" ref="G9" si="5">C9*F9</f>
        <v>1.3360000000000001</v>
      </c>
      <c r="H9" s="57">
        <f t="shared" ref="H9" si="6">E9+G9</f>
        <v>2.004</v>
      </c>
      <c r="I9" s="57"/>
      <c r="J9" s="54">
        <v>3.3</v>
      </c>
      <c r="K9" s="56">
        <v>2.1339999999999999</v>
      </c>
    </row>
    <row r="10" spans="1:14" x14ac:dyDescent="0.25">
      <c r="A10" s="5" t="s">
        <v>59</v>
      </c>
      <c r="B10" s="20" t="s">
        <v>4</v>
      </c>
      <c r="C10" s="59">
        <v>26</v>
      </c>
      <c r="D10" s="58">
        <v>0.02</v>
      </c>
      <c r="E10" s="59">
        <f>C10*D10</f>
        <v>0.52</v>
      </c>
      <c r="F10" s="55">
        <v>0.04</v>
      </c>
      <c r="G10" s="56">
        <f t="shared" si="0"/>
        <v>1.04</v>
      </c>
      <c r="H10" s="57">
        <f t="shared" si="1"/>
        <v>1.56</v>
      </c>
      <c r="I10" s="57"/>
      <c r="J10" s="54">
        <v>3.4</v>
      </c>
      <c r="K10" s="56">
        <v>2.097</v>
      </c>
    </row>
    <row r="11" spans="1:14" x14ac:dyDescent="0.25">
      <c r="A11" s="5" t="s">
        <v>17</v>
      </c>
      <c r="B11" s="21" t="s">
        <v>13</v>
      </c>
      <c r="C11" s="59">
        <v>0.1</v>
      </c>
      <c r="D11" s="60">
        <v>0</v>
      </c>
      <c r="E11" s="59">
        <f t="shared" ref="E11:E14" si="7">C11*D11</f>
        <v>0</v>
      </c>
      <c r="F11" s="61">
        <v>250</v>
      </c>
      <c r="G11" s="56">
        <f t="shared" si="0"/>
        <v>25</v>
      </c>
      <c r="H11" s="57">
        <f t="shared" si="1"/>
        <v>25</v>
      </c>
      <c r="I11" s="57"/>
      <c r="J11" s="38"/>
    </row>
    <row r="12" spans="1:14" x14ac:dyDescent="0.25">
      <c r="A12" s="5" t="s">
        <v>18</v>
      </c>
      <c r="B12" s="21" t="s">
        <v>14</v>
      </c>
      <c r="C12" s="59">
        <v>0.125</v>
      </c>
      <c r="D12" s="60">
        <v>0</v>
      </c>
      <c r="E12" s="59">
        <f t="shared" si="7"/>
        <v>0</v>
      </c>
      <c r="F12" s="61">
        <v>100</v>
      </c>
      <c r="G12" s="56">
        <f t="shared" si="0"/>
        <v>12.5</v>
      </c>
      <c r="H12" s="57">
        <f t="shared" si="1"/>
        <v>12.5</v>
      </c>
      <c r="I12" s="57"/>
      <c r="J12" s="38"/>
    </row>
    <row r="13" spans="1:14" x14ac:dyDescent="0.25">
      <c r="A13" s="5" t="s">
        <v>19</v>
      </c>
      <c r="B13" s="21" t="s">
        <v>5</v>
      </c>
      <c r="C13" s="59">
        <v>5</v>
      </c>
      <c r="D13" s="60">
        <v>1</v>
      </c>
      <c r="E13" s="59">
        <f t="shared" si="7"/>
        <v>5</v>
      </c>
      <c r="F13" s="61">
        <v>1</v>
      </c>
      <c r="G13" s="56">
        <f t="shared" si="0"/>
        <v>5</v>
      </c>
      <c r="H13" s="57">
        <f t="shared" si="1"/>
        <v>10</v>
      </c>
      <c r="I13" s="57"/>
      <c r="J13" s="38"/>
    </row>
    <row r="14" spans="1:14" ht="15.75" thickBot="1" x14ac:dyDescent="0.3">
      <c r="A14" s="7" t="s">
        <v>16</v>
      </c>
      <c r="B14" s="22" t="s">
        <v>15</v>
      </c>
      <c r="C14" s="63">
        <v>1.5</v>
      </c>
      <c r="D14" s="62">
        <v>1</v>
      </c>
      <c r="E14" s="63">
        <f t="shared" si="7"/>
        <v>1.5</v>
      </c>
      <c r="F14" s="64">
        <v>3</v>
      </c>
      <c r="G14" s="65">
        <f t="shared" si="0"/>
        <v>4.5</v>
      </c>
      <c r="H14" s="66">
        <f t="shared" si="1"/>
        <v>6</v>
      </c>
      <c r="I14" s="106"/>
      <c r="J14" s="38"/>
    </row>
    <row r="15" spans="1:14" x14ac:dyDescent="0.25">
      <c r="A15" s="47" t="s">
        <v>73</v>
      </c>
      <c r="B15" s="71" t="s">
        <v>31</v>
      </c>
      <c r="C15" s="86"/>
      <c r="D15" s="48"/>
      <c r="E15" s="49">
        <f>SUMPRODUCT(D2:D10,J2:J10)</f>
        <v>0.57600000000000007</v>
      </c>
      <c r="F15" s="48"/>
      <c r="G15" s="49">
        <f>SUMPRODUCT(F2:F10,J2:J10)</f>
        <v>1.6790000000000003</v>
      </c>
      <c r="H15" s="57">
        <f>E15+G15</f>
        <v>2.2550000000000003</v>
      </c>
      <c r="I15" s="57"/>
      <c r="J15" s="38"/>
    </row>
    <row r="16" spans="1:14" x14ac:dyDescent="0.25">
      <c r="A16" s="12" t="s">
        <v>71</v>
      </c>
      <c r="B16" s="72" t="s">
        <v>31</v>
      </c>
      <c r="C16" s="87"/>
      <c r="D16" s="50"/>
      <c r="E16" s="42">
        <f>SUMPRODUCT(D2:D10,K2:K10)</f>
        <v>0.83181999999999989</v>
      </c>
      <c r="F16" s="50"/>
      <c r="G16" s="42">
        <f>SUMPRODUCT(F2:F10,K2:K10)</f>
        <v>2.7723400000000002</v>
      </c>
      <c r="H16" s="57">
        <f t="shared" ref="H16:H17" si="8">E16+G16</f>
        <v>3.6041600000000003</v>
      </c>
      <c r="I16" s="57"/>
      <c r="J16" s="38"/>
    </row>
    <row r="17" spans="1:10" ht="15.75" thickBot="1" x14ac:dyDescent="0.3">
      <c r="A17" s="7" t="s">
        <v>72</v>
      </c>
      <c r="B17" s="73" t="s">
        <v>32</v>
      </c>
      <c r="C17" s="51"/>
      <c r="D17" s="52">
        <v>0.15</v>
      </c>
      <c r="E17" s="44">
        <f>D23*SUMPRODUCT(E2:E10,L2:L10)</f>
        <v>1.0849499999999999</v>
      </c>
      <c r="F17" s="52">
        <v>0.15</v>
      </c>
      <c r="G17" s="44">
        <f>F23*SUMPRODUCT(G2:G10,L2:L10)</f>
        <v>2.9636999999999998</v>
      </c>
      <c r="H17" s="66">
        <f t="shared" si="8"/>
        <v>4.0486499999999994</v>
      </c>
      <c r="I17" s="106"/>
      <c r="J17" s="38"/>
    </row>
    <row r="18" spans="1:10" x14ac:dyDescent="0.25">
      <c r="A18" s="47" t="s">
        <v>76</v>
      </c>
      <c r="B18" s="71" t="s">
        <v>31</v>
      </c>
      <c r="C18" s="86"/>
      <c r="D18" s="109">
        <v>0.1</v>
      </c>
      <c r="E18" s="110">
        <f>D18*SUMPRODUCT(E2:E10,M2:M10)</f>
        <v>0.15000000000000002</v>
      </c>
      <c r="F18" s="109">
        <v>0.1</v>
      </c>
      <c r="G18" s="110">
        <f>F18*SUMPRODUCT(G2:G10,M2:M10)</f>
        <v>0.45</v>
      </c>
      <c r="H18" s="57">
        <f>E18+G18</f>
        <v>0.60000000000000009</v>
      </c>
      <c r="I18" s="57"/>
      <c r="J18" s="38"/>
    </row>
    <row r="19" spans="1:10" x14ac:dyDescent="0.25">
      <c r="A19" s="12" t="s">
        <v>77</v>
      </c>
      <c r="B19" s="72" t="s">
        <v>31</v>
      </c>
      <c r="C19" s="87"/>
      <c r="D19" s="111">
        <v>0.12</v>
      </c>
      <c r="E19" s="112">
        <f>D19*SUMPRODUCT(E2:E10,M2:M10)</f>
        <v>0.18</v>
      </c>
      <c r="F19" s="111">
        <v>0.12</v>
      </c>
      <c r="G19" s="112">
        <f>F19*SUMPRODUCT(G2:G10,M2:M10)</f>
        <v>0.54</v>
      </c>
      <c r="H19" s="57">
        <f t="shared" ref="H19:H20" si="9">E19+G19</f>
        <v>0.72</v>
      </c>
      <c r="I19" s="57"/>
      <c r="J19" s="38"/>
    </row>
    <row r="20" spans="1:10" ht="15.75" thickBot="1" x14ac:dyDescent="0.3">
      <c r="A20" s="7" t="s">
        <v>78</v>
      </c>
      <c r="B20" s="73" t="s">
        <v>32</v>
      </c>
      <c r="C20" s="51"/>
      <c r="D20" s="113">
        <v>0.15</v>
      </c>
      <c r="E20" s="114">
        <f>D20*SUMPRODUCT(E2:E10,M2:M10)</f>
        <v>0.22499999999999998</v>
      </c>
      <c r="F20" s="113">
        <v>0.15</v>
      </c>
      <c r="G20" s="114">
        <f>F20*SUMPRODUCT(G2:G10,M2:M10)</f>
        <v>0.67499999999999993</v>
      </c>
      <c r="H20" s="66">
        <f t="shared" si="9"/>
        <v>0.89999999999999991</v>
      </c>
      <c r="I20" s="106"/>
      <c r="J20" s="38"/>
    </row>
    <row r="21" spans="1:10" x14ac:dyDescent="0.25">
      <c r="A21" s="47" t="s">
        <v>91</v>
      </c>
      <c r="B21" s="71" t="s">
        <v>31</v>
      </c>
      <c r="C21" s="86"/>
      <c r="D21" s="109">
        <v>0.1</v>
      </c>
      <c r="E21" s="110">
        <f>D21*SUMPRODUCT(E2:E10,N2:N10)</f>
        <v>0.15000000000000002</v>
      </c>
      <c r="F21" s="109">
        <v>0.1</v>
      </c>
      <c r="G21" s="110">
        <f>F21*SUMPRODUCT(G2:G10,N2:N10)</f>
        <v>0.60000000000000009</v>
      </c>
      <c r="H21" s="57">
        <f>E21+G21</f>
        <v>0.75000000000000011</v>
      </c>
      <c r="I21" s="57"/>
      <c r="J21" s="38"/>
    </row>
    <row r="22" spans="1:10" x14ac:dyDescent="0.25">
      <c r="A22" s="12" t="s">
        <v>92</v>
      </c>
      <c r="B22" s="72" t="s">
        <v>31</v>
      </c>
      <c r="C22" s="87"/>
      <c r="D22" s="111">
        <v>0.12</v>
      </c>
      <c r="E22" s="112">
        <f>D22*SUMPRODUCT(E2:E10,N2:N10)</f>
        <v>0.18</v>
      </c>
      <c r="F22" s="111">
        <v>0.12</v>
      </c>
      <c r="G22" s="112">
        <f>F22*SUMPRODUCT(G2:G10,N2:N10)</f>
        <v>0.72</v>
      </c>
      <c r="H22" s="57">
        <f t="shared" si="1"/>
        <v>0.89999999999999991</v>
      </c>
      <c r="I22" s="57"/>
      <c r="J22" s="38"/>
    </row>
    <row r="23" spans="1:10" ht="15.75" thickBot="1" x14ac:dyDescent="0.3">
      <c r="A23" s="7" t="s">
        <v>93</v>
      </c>
      <c r="B23" s="73" t="s">
        <v>32</v>
      </c>
      <c r="C23" s="51"/>
      <c r="D23" s="113">
        <v>0.15</v>
      </c>
      <c r="E23" s="114">
        <f>D23*SUMPRODUCT(E2:E10,N2:N10)</f>
        <v>0.22499999999999998</v>
      </c>
      <c r="F23" s="113">
        <v>0.15</v>
      </c>
      <c r="G23" s="114">
        <f>F23*SUMPRODUCT(G2:G10,N2:N10)</f>
        <v>0.89999999999999991</v>
      </c>
      <c r="H23" s="66">
        <f t="shared" si="1"/>
        <v>1.125</v>
      </c>
      <c r="I23" s="106"/>
      <c r="J23" s="38"/>
    </row>
    <row r="24" spans="1:10" x14ac:dyDescent="0.25">
      <c r="A24" s="5" t="s">
        <v>84</v>
      </c>
      <c r="B24" s="70"/>
      <c r="E24" s="59">
        <f>SUM(E2:E5,E8:E17)</f>
        <v>21.442769999999999</v>
      </c>
      <c r="F24" s="6"/>
      <c r="G24" s="59">
        <f>SUM(G2:G5,G8:G17)</f>
        <v>88.729039999999998</v>
      </c>
      <c r="H24" s="59">
        <f>SUM(H2:H5,H8:H17)</f>
        <v>110.17181000000001</v>
      </c>
      <c r="I24" s="59"/>
      <c r="J24" s="38"/>
    </row>
    <row r="25" spans="1:10" x14ac:dyDescent="0.25">
      <c r="A25" s="12" t="s">
        <v>62</v>
      </c>
      <c r="B25" s="72" t="s">
        <v>30</v>
      </c>
      <c r="C25" s="43">
        <v>0.17</v>
      </c>
      <c r="D25" s="33"/>
      <c r="E25" s="107">
        <f>$C$25*E24</f>
        <v>3.6452709000000003</v>
      </c>
      <c r="F25" s="38"/>
      <c r="G25" s="107">
        <f>$C$25*G24</f>
        <v>15.0839368</v>
      </c>
      <c r="H25" s="107">
        <f>$C$25*H24</f>
        <v>18.729207700000003</v>
      </c>
      <c r="I25" s="107"/>
      <c r="J25" s="38"/>
    </row>
    <row r="26" spans="1:10" ht="15.75" thickBot="1" x14ac:dyDescent="0.3">
      <c r="A26" s="7" t="s">
        <v>86</v>
      </c>
      <c r="B26" s="73"/>
      <c r="C26" s="51"/>
      <c r="D26" s="32"/>
      <c r="E26" s="68">
        <f>E24+E25</f>
        <v>25.088040899999999</v>
      </c>
      <c r="F26" s="8"/>
      <c r="G26" s="68">
        <f>G24+G25</f>
        <v>103.8129768</v>
      </c>
      <c r="H26" s="68">
        <f>H24+H25</f>
        <v>128.90101770000001</v>
      </c>
      <c r="I26" s="107"/>
      <c r="J26" s="38"/>
    </row>
    <row r="27" spans="1:10" x14ac:dyDescent="0.25">
      <c r="A27" s="12" t="s">
        <v>83</v>
      </c>
      <c r="B27" s="72"/>
      <c r="C27" s="43"/>
      <c r="D27" s="33"/>
      <c r="E27" s="107">
        <f>SUM(E6,E18:E20)</f>
        <v>2.0549999999999997</v>
      </c>
      <c r="F27" s="38"/>
      <c r="G27" s="107">
        <f>SUM(G6,G18:G20)</f>
        <v>6.165</v>
      </c>
      <c r="H27" s="107">
        <f>SUM(H6,H18:H20)</f>
        <v>8.2199999999999989</v>
      </c>
      <c r="I27" s="107"/>
      <c r="J27" s="38"/>
    </row>
    <row r="28" spans="1:10" x14ac:dyDescent="0.25">
      <c r="A28" s="12" t="s">
        <v>75</v>
      </c>
      <c r="B28" s="72"/>
      <c r="C28" s="43">
        <v>0.11</v>
      </c>
      <c r="D28" s="33"/>
      <c r="E28" s="107">
        <f>$C$28*E27</f>
        <v>0.22604999999999997</v>
      </c>
      <c r="F28" s="38"/>
      <c r="G28" s="107">
        <f>$C$28*G27</f>
        <v>0.67815000000000003</v>
      </c>
      <c r="H28" s="107">
        <f>$C$28*H27</f>
        <v>0.90419999999999989</v>
      </c>
      <c r="I28" s="107"/>
      <c r="J28" s="38"/>
    </row>
    <row r="29" spans="1:10" ht="15.75" thickBot="1" x14ac:dyDescent="0.3">
      <c r="A29" s="7" t="s">
        <v>85</v>
      </c>
      <c r="B29" s="73"/>
      <c r="C29" s="51"/>
      <c r="D29" s="32"/>
      <c r="E29" s="68">
        <f>E27+E28</f>
        <v>2.2810499999999996</v>
      </c>
      <c r="F29" s="8"/>
      <c r="G29" s="68">
        <f>G27+G28</f>
        <v>6.8431499999999996</v>
      </c>
      <c r="H29" s="68">
        <f>H27+H28</f>
        <v>9.1241999999999983</v>
      </c>
      <c r="I29" s="107"/>
      <c r="J29" s="38"/>
    </row>
    <row r="30" spans="1:10" x14ac:dyDescent="0.25">
      <c r="A30" s="12" t="s">
        <v>88</v>
      </c>
      <c r="B30" s="72"/>
      <c r="C30" s="43"/>
      <c r="D30" s="33"/>
      <c r="E30" s="107">
        <f>SUM(E7,E21:E23)</f>
        <v>2.0549999999999997</v>
      </c>
      <c r="F30" s="38"/>
      <c r="G30" s="107">
        <f>SUM(G7,G21:G23)</f>
        <v>8.2199999999999989</v>
      </c>
      <c r="H30" s="107">
        <f>SUM(H7,H21:H23)</f>
        <v>10.275</v>
      </c>
      <c r="I30" s="107"/>
      <c r="J30" s="38"/>
    </row>
    <row r="31" spans="1:10" x14ac:dyDescent="0.25">
      <c r="A31" s="12" t="s">
        <v>89</v>
      </c>
      <c r="B31" s="72"/>
      <c r="C31" s="116">
        <v>0.15</v>
      </c>
      <c r="D31" s="33"/>
      <c r="E31" s="107">
        <f>$C$31*E30</f>
        <v>0.30824999999999997</v>
      </c>
      <c r="F31" s="38"/>
      <c r="G31" s="107">
        <f>$C$31*G30</f>
        <v>1.2329999999999999</v>
      </c>
      <c r="H31" s="107">
        <f>$C$31*H30</f>
        <v>1.54125</v>
      </c>
      <c r="I31" s="107"/>
      <c r="J31" s="38"/>
    </row>
    <row r="32" spans="1:10" ht="15.75" thickBot="1" x14ac:dyDescent="0.3">
      <c r="A32" s="7" t="s">
        <v>90</v>
      </c>
      <c r="B32" s="73"/>
      <c r="C32" s="51"/>
      <c r="D32" s="32"/>
      <c r="E32" s="68">
        <f>E30+E31</f>
        <v>2.3632499999999999</v>
      </c>
      <c r="F32" s="8"/>
      <c r="G32" s="68">
        <f>G30+G31</f>
        <v>9.4529999999999994</v>
      </c>
      <c r="H32" s="68">
        <f>H30+H31</f>
        <v>11.81625</v>
      </c>
      <c r="I32" s="107"/>
      <c r="J32" s="38"/>
    </row>
    <row r="33" spans="1:10" ht="15.75" thickBot="1" x14ac:dyDescent="0.3">
      <c r="A33" s="1" t="s">
        <v>87</v>
      </c>
      <c r="B33" s="19"/>
      <c r="C33" s="2"/>
      <c r="D33" s="2"/>
      <c r="E33" s="67">
        <f>SUM(E26,E29,E32)</f>
        <v>29.732340900000001</v>
      </c>
      <c r="F33" s="9"/>
      <c r="G33" s="67">
        <f>SUM(G26,G29,G32)</f>
        <v>120.1091268</v>
      </c>
      <c r="H33" s="67">
        <f>SUM(H26,H29,H32)</f>
        <v>149.84146770000001</v>
      </c>
      <c r="I33" s="54"/>
      <c r="J33" s="38">
        <f>E33+G33</f>
        <v>149.84146770000001</v>
      </c>
    </row>
    <row r="34" spans="1:10" ht="15.75" thickTop="1" x14ac:dyDescent="0.25">
      <c r="G34" s="35"/>
      <c r="H34" s="35"/>
      <c r="I34" s="3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10" zoomScaleNormal="110" workbookViewId="0">
      <selection activeCell="D23" sqref="D23"/>
    </sheetView>
  </sheetViews>
  <sheetFormatPr defaultRowHeight="15" x14ac:dyDescent="0.25"/>
  <cols>
    <col min="1" max="1" width="29" style="4" customWidth="1"/>
    <col min="2" max="2" width="16.42578125" style="4" customWidth="1"/>
    <col min="3" max="8" width="13" style="4" customWidth="1"/>
    <col min="9" max="9" width="6.5703125" style="33" customWidth="1"/>
    <col min="10" max="10" width="12" style="33" customWidth="1"/>
    <col min="11" max="11" width="12.42578125" style="4" customWidth="1"/>
    <col min="12" max="12" width="11.85546875" style="4" customWidth="1"/>
    <col min="13" max="16384" width="9.140625" style="4"/>
  </cols>
  <sheetData>
    <row r="1" spans="1:12" ht="30.75" thickBot="1" x14ac:dyDescent="0.3">
      <c r="A1" s="1" t="s">
        <v>9</v>
      </c>
      <c r="B1" s="3" t="s">
        <v>1</v>
      </c>
      <c r="C1" s="3" t="s">
        <v>2</v>
      </c>
      <c r="D1" s="3" t="s">
        <v>20</v>
      </c>
      <c r="E1" s="3" t="s">
        <v>3</v>
      </c>
      <c r="F1" s="3" t="s">
        <v>21</v>
      </c>
      <c r="G1" s="3" t="s">
        <v>10</v>
      </c>
      <c r="H1" s="3" t="s">
        <v>11</v>
      </c>
      <c r="I1" s="13"/>
      <c r="J1" s="88" t="s">
        <v>79</v>
      </c>
      <c r="K1" s="88" t="s">
        <v>80</v>
      </c>
      <c r="L1" s="88" t="s">
        <v>81</v>
      </c>
    </row>
    <row r="2" spans="1:12" ht="15.75" thickTop="1" x14ac:dyDescent="0.25">
      <c r="A2" s="5" t="s">
        <v>34</v>
      </c>
      <c r="B2" s="4" t="s">
        <v>4</v>
      </c>
      <c r="C2" s="54">
        <v>194.1</v>
      </c>
      <c r="D2" s="39">
        <v>0.08</v>
      </c>
      <c r="E2" s="36">
        <f>C2*D2</f>
        <v>15.528</v>
      </c>
      <c r="F2" s="39">
        <v>0.25</v>
      </c>
      <c r="G2" s="36">
        <f>C2*F2</f>
        <v>48.524999999999999</v>
      </c>
      <c r="H2" s="36">
        <f>E2+G2</f>
        <v>64.052999999999997</v>
      </c>
      <c r="I2" s="42"/>
      <c r="J2" s="89">
        <v>3.4</v>
      </c>
      <c r="K2" s="90">
        <v>3.5409999999999999</v>
      </c>
      <c r="L2" s="4">
        <v>1</v>
      </c>
    </row>
    <row r="3" spans="1:12" x14ac:dyDescent="0.25">
      <c r="A3" s="5" t="s">
        <v>27</v>
      </c>
      <c r="B3" s="4" t="s">
        <v>4</v>
      </c>
      <c r="C3" s="59">
        <v>31.4</v>
      </c>
      <c r="D3" s="39">
        <v>0.125</v>
      </c>
      <c r="E3" s="36">
        <f t="shared" ref="E3:E9" si="0">C3*D3</f>
        <v>3.9249999999999998</v>
      </c>
      <c r="F3" s="39">
        <v>0.375</v>
      </c>
      <c r="G3" s="36">
        <f t="shared" ref="G3:G9" si="1">C3*F3</f>
        <v>11.774999999999999</v>
      </c>
      <c r="H3" s="36">
        <f t="shared" ref="H3:H12" si="2">E3+G3</f>
        <v>15.7</v>
      </c>
      <c r="I3" s="42"/>
      <c r="J3" s="89">
        <v>3.4</v>
      </c>
      <c r="K3" s="90">
        <v>2.661</v>
      </c>
    </row>
    <row r="4" spans="1:12" x14ac:dyDescent="0.25">
      <c r="A4" s="5" t="s">
        <v>65</v>
      </c>
      <c r="B4" s="20" t="s">
        <v>4</v>
      </c>
      <c r="C4" s="59">
        <v>82.7</v>
      </c>
      <c r="D4" s="58">
        <v>0.02</v>
      </c>
      <c r="E4" s="59">
        <f>C4*D4</f>
        <v>1.6540000000000001</v>
      </c>
      <c r="F4" s="55">
        <v>0.04</v>
      </c>
      <c r="G4" s="56">
        <f t="shared" si="1"/>
        <v>3.3080000000000003</v>
      </c>
      <c r="H4" s="57">
        <f t="shared" si="2"/>
        <v>4.9620000000000006</v>
      </c>
      <c r="I4" s="106"/>
      <c r="J4" s="89">
        <v>3.4</v>
      </c>
      <c r="K4" s="90">
        <v>2.8959999999999999</v>
      </c>
    </row>
    <row r="5" spans="1:12" x14ac:dyDescent="0.25">
      <c r="A5" s="5" t="s">
        <v>58</v>
      </c>
      <c r="B5" s="20" t="s">
        <v>4</v>
      </c>
      <c r="C5" s="59">
        <v>33.4</v>
      </c>
      <c r="D5" s="58">
        <v>0.02</v>
      </c>
      <c r="E5" s="59">
        <f t="shared" ref="E5:E6" si="3">C5*D5</f>
        <v>0.66800000000000004</v>
      </c>
      <c r="F5" s="55">
        <v>0.04</v>
      </c>
      <c r="G5" s="56">
        <f t="shared" ref="G5:G6" si="4">C5*F5</f>
        <v>1.3360000000000001</v>
      </c>
      <c r="H5" s="57">
        <f t="shared" ref="H5:H6" si="5">E5+G5</f>
        <v>2.004</v>
      </c>
      <c r="I5" s="106"/>
      <c r="J5" s="89">
        <v>3.3</v>
      </c>
      <c r="K5" s="90">
        <v>2.1339999999999999</v>
      </c>
    </row>
    <row r="6" spans="1:12" x14ac:dyDescent="0.25">
      <c r="A6" s="5" t="s">
        <v>59</v>
      </c>
      <c r="B6" s="20" t="s">
        <v>4</v>
      </c>
      <c r="C6" s="59">
        <v>26</v>
      </c>
      <c r="D6" s="58">
        <v>0.02</v>
      </c>
      <c r="E6" s="59">
        <f t="shared" si="3"/>
        <v>0.52</v>
      </c>
      <c r="F6" s="55">
        <v>0.04</v>
      </c>
      <c r="G6" s="56">
        <f t="shared" si="4"/>
        <v>1.04</v>
      </c>
      <c r="H6" s="57">
        <f t="shared" si="5"/>
        <v>1.56</v>
      </c>
      <c r="I6" s="106"/>
      <c r="J6" s="89">
        <v>3.4</v>
      </c>
      <c r="K6" s="90">
        <v>2.097</v>
      </c>
    </row>
    <row r="7" spans="1:12" x14ac:dyDescent="0.25">
      <c r="A7" s="5" t="s">
        <v>29</v>
      </c>
      <c r="B7" s="4" t="s">
        <v>23</v>
      </c>
      <c r="C7" s="80">
        <v>0.05</v>
      </c>
      <c r="D7" s="36">
        <v>0</v>
      </c>
      <c r="E7" s="36">
        <f t="shared" si="0"/>
        <v>0</v>
      </c>
      <c r="F7" s="36">
        <v>800</v>
      </c>
      <c r="G7" s="36">
        <f t="shared" si="1"/>
        <v>40</v>
      </c>
      <c r="H7" s="36">
        <f t="shared" si="2"/>
        <v>40</v>
      </c>
      <c r="I7" s="42"/>
      <c r="J7" s="38"/>
    </row>
    <row r="8" spans="1:12" x14ac:dyDescent="0.25">
      <c r="A8" s="5" t="s">
        <v>19</v>
      </c>
      <c r="B8" s="4" t="s">
        <v>5</v>
      </c>
      <c r="C8" s="80">
        <v>7.5</v>
      </c>
      <c r="D8" s="36">
        <v>0</v>
      </c>
      <c r="E8" s="36">
        <f t="shared" si="0"/>
        <v>0</v>
      </c>
      <c r="F8" s="36">
        <v>2</v>
      </c>
      <c r="G8" s="36">
        <f t="shared" si="1"/>
        <v>15</v>
      </c>
      <c r="H8" s="36">
        <f t="shared" si="2"/>
        <v>15</v>
      </c>
      <c r="I8" s="42"/>
      <c r="J8" s="38"/>
    </row>
    <row r="9" spans="1:12" ht="15.75" thickBot="1" x14ac:dyDescent="0.3">
      <c r="A9" s="7" t="s">
        <v>35</v>
      </c>
      <c r="B9" s="4" t="s">
        <v>15</v>
      </c>
      <c r="C9" s="80">
        <v>2</v>
      </c>
      <c r="D9" s="36">
        <v>2</v>
      </c>
      <c r="E9" s="36">
        <f t="shared" si="0"/>
        <v>4</v>
      </c>
      <c r="F9" s="36">
        <v>4</v>
      </c>
      <c r="G9" s="36">
        <f t="shared" si="1"/>
        <v>8</v>
      </c>
      <c r="H9" s="36">
        <f t="shared" si="2"/>
        <v>12</v>
      </c>
      <c r="I9" s="42"/>
      <c r="J9" s="38"/>
    </row>
    <row r="10" spans="1:12" x14ac:dyDescent="0.25">
      <c r="A10" s="47" t="s">
        <v>24</v>
      </c>
      <c r="B10" s="34" t="s">
        <v>31</v>
      </c>
      <c r="C10" s="86"/>
      <c r="D10" s="48"/>
      <c r="E10" s="49">
        <f>SUMPRODUCT(D2:D6,J2:J6)</f>
        <v>0.89900000000000024</v>
      </c>
      <c r="F10" s="48"/>
      <c r="G10" s="49">
        <f>SUMPRODUCT(F2:F6,J2:J6)</f>
        <v>2.5290000000000004</v>
      </c>
      <c r="H10" s="49">
        <f t="shared" si="2"/>
        <v>3.4280000000000008</v>
      </c>
      <c r="I10" s="42"/>
      <c r="J10" s="38"/>
    </row>
    <row r="11" spans="1:12" x14ac:dyDescent="0.25">
      <c r="A11" s="12" t="s">
        <v>25</v>
      </c>
      <c r="B11" s="33" t="s">
        <v>31</v>
      </c>
      <c r="C11" s="87"/>
      <c r="D11" s="50"/>
      <c r="E11" s="42">
        <f>SUMPRODUCT(D2:D6,K2:K6)</f>
        <v>0.75844499999999992</v>
      </c>
      <c r="F11" s="50"/>
      <c r="G11" s="42">
        <f>SUMPRODUCT(F2:F6,K2:K6)</f>
        <v>2.1682050000000004</v>
      </c>
      <c r="H11" s="42">
        <f t="shared" si="2"/>
        <v>2.9266500000000004</v>
      </c>
      <c r="I11" s="42"/>
      <c r="J11" s="38"/>
    </row>
    <row r="12" spans="1:12" ht="15.75" thickBot="1" x14ac:dyDescent="0.3">
      <c r="A12" s="7" t="s">
        <v>67</v>
      </c>
      <c r="B12" s="32" t="s">
        <v>32</v>
      </c>
      <c r="C12" s="51"/>
      <c r="D12" s="52">
        <v>0.15</v>
      </c>
      <c r="E12" s="44">
        <f>D12*SUMPRODUCT(E2:E6,L2:L6)</f>
        <v>2.3292000000000002</v>
      </c>
      <c r="F12" s="52">
        <v>0.15</v>
      </c>
      <c r="G12" s="44">
        <f>F12*SUMPRODUCT(G2:G6,L2:L6)</f>
        <v>7.2787499999999996</v>
      </c>
      <c r="H12" s="44">
        <f t="shared" si="2"/>
        <v>9.6079499999999989</v>
      </c>
      <c r="I12" s="42"/>
      <c r="J12" s="38"/>
    </row>
    <row r="13" spans="1:12" x14ac:dyDescent="0.25">
      <c r="A13" s="5" t="s">
        <v>7</v>
      </c>
      <c r="E13" s="36">
        <f>SUM(E2:E12)</f>
        <v>30.281644999999997</v>
      </c>
      <c r="G13" s="36">
        <f>SUM(G2:G12)</f>
        <v>140.95995500000001</v>
      </c>
      <c r="H13" s="36">
        <f>SUM(H2:H12)</f>
        <v>171.24159999999998</v>
      </c>
      <c r="I13" s="42"/>
      <c r="J13" s="38"/>
    </row>
    <row r="14" spans="1:12" ht="15.75" thickBot="1" x14ac:dyDescent="0.3">
      <c r="A14" s="7" t="s">
        <v>26</v>
      </c>
      <c r="B14" s="4" t="s">
        <v>30</v>
      </c>
      <c r="C14" s="39">
        <v>0.17</v>
      </c>
      <c r="E14" s="36">
        <f>$C$14*E13</f>
        <v>5.1478796500000001</v>
      </c>
      <c r="G14" s="36">
        <f>$C$14*G13</f>
        <v>23.963192350000003</v>
      </c>
      <c r="H14" s="36">
        <f>C14*H13</f>
        <v>29.111071999999997</v>
      </c>
      <c r="I14" s="42"/>
      <c r="J14" s="38"/>
    </row>
    <row r="15" spans="1:12" ht="15.75" thickBot="1" x14ac:dyDescent="0.3">
      <c r="A15" s="1" t="s">
        <v>8</v>
      </c>
      <c r="B15" s="45"/>
      <c r="C15" s="45"/>
      <c r="D15" s="45"/>
      <c r="E15" s="46">
        <f>E13+E14</f>
        <v>35.429524649999998</v>
      </c>
      <c r="F15" s="45"/>
      <c r="G15" s="46">
        <f>G13+G14</f>
        <v>164.92314735000002</v>
      </c>
      <c r="H15" s="46">
        <f>H13+H14</f>
        <v>200.35267199999998</v>
      </c>
      <c r="I15" s="42"/>
      <c r="J15" s="38"/>
    </row>
    <row r="16" spans="1:12" ht="15.75" thickTop="1" x14ac:dyDescent="0.25"/>
  </sheetData>
  <pageMargins left="0.7" right="0.7" top="0.75" bottom="0.75" header="0.3" footer="0.3"/>
  <ignoredErrors>
    <ignoredError sqref="E10:G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J23" sqref="J23:J24"/>
    </sheetView>
  </sheetViews>
  <sheetFormatPr defaultRowHeight="15" x14ac:dyDescent="0.25"/>
  <cols>
    <col min="1" max="1" width="42.7109375" style="4" customWidth="1"/>
    <col min="2" max="2" width="17.5703125" style="4" customWidth="1"/>
    <col min="3" max="8" width="12.140625" style="4" customWidth="1"/>
    <col min="9" max="9" width="8.140625" style="33" customWidth="1"/>
    <col min="10" max="11" width="11.7109375" style="4" customWidth="1"/>
    <col min="12" max="12" width="12.85546875" style="4" customWidth="1"/>
    <col min="13" max="16384" width="9.140625" style="4"/>
  </cols>
  <sheetData>
    <row r="1" spans="1:12" ht="30.75" thickBot="1" x14ac:dyDescent="0.3">
      <c r="A1" s="1" t="s">
        <v>9</v>
      </c>
      <c r="B1" s="3" t="s">
        <v>1</v>
      </c>
      <c r="C1" s="3" t="s">
        <v>2</v>
      </c>
      <c r="D1" s="3" t="s">
        <v>20</v>
      </c>
      <c r="E1" s="3" t="s">
        <v>3</v>
      </c>
      <c r="F1" s="3" t="s">
        <v>21</v>
      </c>
      <c r="G1" s="3" t="s">
        <v>10</v>
      </c>
      <c r="H1" s="3" t="s">
        <v>11</v>
      </c>
      <c r="I1" s="13"/>
      <c r="J1" s="88" t="s">
        <v>79</v>
      </c>
      <c r="K1" s="88" t="s">
        <v>80</v>
      </c>
      <c r="L1" s="88" t="s">
        <v>81</v>
      </c>
    </row>
    <row r="2" spans="1:12" ht="15.75" thickTop="1" x14ac:dyDescent="0.25">
      <c r="A2" s="5" t="s">
        <v>66</v>
      </c>
      <c r="B2" s="35" t="s">
        <v>4</v>
      </c>
      <c r="C2" s="40">
        <v>160.4</v>
      </c>
      <c r="D2" s="41">
        <v>0.05</v>
      </c>
      <c r="E2" s="40">
        <f>C2*D2</f>
        <v>8.0200000000000014</v>
      </c>
      <c r="F2" s="41">
        <v>0.15</v>
      </c>
      <c r="G2" s="40">
        <f>C2*F2</f>
        <v>24.06</v>
      </c>
      <c r="H2" s="40">
        <f>E2+G2</f>
        <v>32.08</v>
      </c>
      <c r="I2" s="42"/>
      <c r="J2" s="57">
        <v>3.4</v>
      </c>
      <c r="K2" s="57">
        <v>3.54</v>
      </c>
      <c r="L2" s="4">
        <v>1</v>
      </c>
    </row>
    <row r="3" spans="1:12" x14ac:dyDescent="0.25">
      <c r="A3" s="5" t="s">
        <v>33</v>
      </c>
      <c r="B3" s="33" t="s">
        <v>4</v>
      </c>
      <c r="C3" s="42">
        <v>251.1</v>
      </c>
      <c r="D3" s="43">
        <v>2.5000000000000001E-2</v>
      </c>
      <c r="E3" s="42">
        <f t="shared" ref="E3:E11" si="0">C3*D3</f>
        <v>6.2774999999999999</v>
      </c>
      <c r="F3" s="43">
        <v>7.4999999999999997E-2</v>
      </c>
      <c r="G3" s="42">
        <f t="shared" ref="G3:G11" si="1">C3*F3</f>
        <v>18.8325</v>
      </c>
      <c r="H3" s="42">
        <f t="shared" ref="H3:H14" si="2">E3+G3</f>
        <v>25.11</v>
      </c>
      <c r="I3" s="42"/>
      <c r="J3" s="57">
        <v>4.3019999999999996</v>
      </c>
      <c r="K3" s="57">
        <v>3.41</v>
      </c>
      <c r="L3" s="4">
        <v>1</v>
      </c>
    </row>
    <row r="4" spans="1:12" x14ac:dyDescent="0.25">
      <c r="A4" s="5" t="s">
        <v>63</v>
      </c>
      <c r="B4" s="33" t="s">
        <v>4</v>
      </c>
      <c r="C4" s="42">
        <v>37.700000000000003</v>
      </c>
      <c r="D4" s="43">
        <v>0.125</v>
      </c>
      <c r="E4" s="42">
        <f t="shared" si="0"/>
        <v>4.7125000000000004</v>
      </c>
      <c r="F4" s="43">
        <v>0.375</v>
      </c>
      <c r="G4" s="42">
        <f t="shared" si="1"/>
        <v>14.137500000000001</v>
      </c>
      <c r="H4" s="42">
        <f t="shared" si="2"/>
        <v>18.850000000000001</v>
      </c>
      <c r="I4" s="42"/>
      <c r="J4" s="57">
        <v>3.3</v>
      </c>
      <c r="K4" s="57">
        <v>2.56</v>
      </c>
      <c r="L4" s="4">
        <v>1</v>
      </c>
    </row>
    <row r="5" spans="1:12" x14ac:dyDescent="0.25">
      <c r="A5" s="5" t="s">
        <v>65</v>
      </c>
      <c r="B5" s="20" t="s">
        <v>4</v>
      </c>
      <c r="C5" s="59">
        <v>82.7</v>
      </c>
      <c r="D5" s="58">
        <v>0.02</v>
      </c>
      <c r="E5" s="59">
        <f>C5*D5</f>
        <v>1.6540000000000001</v>
      </c>
      <c r="F5" s="55">
        <v>0.04</v>
      </c>
      <c r="G5" s="56">
        <f t="shared" si="1"/>
        <v>3.3080000000000003</v>
      </c>
      <c r="H5" s="57">
        <f t="shared" si="2"/>
        <v>4.9620000000000006</v>
      </c>
      <c r="I5" s="106"/>
      <c r="J5" s="54">
        <v>3.4</v>
      </c>
      <c r="K5" s="57">
        <v>2.8959999999999999</v>
      </c>
    </row>
    <row r="6" spans="1:12" x14ac:dyDescent="0.25">
      <c r="A6" s="5" t="s">
        <v>58</v>
      </c>
      <c r="B6" s="20" t="s">
        <v>4</v>
      </c>
      <c r="C6" s="59">
        <v>33.4</v>
      </c>
      <c r="D6" s="58">
        <v>0.02</v>
      </c>
      <c r="E6" s="59">
        <f>C6*D6</f>
        <v>0.66800000000000004</v>
      </c>
      <c r="F6" s="55">
        <v>0.04</v>
      </c>
      <c r="G6" s="56">
        <f t="shared" si="1"/>
        <v>1.3360000000000001</v>
      </c>
      <c r="H6" s="57">
        <f t="shared" si="2"/>
        <v>2.004</v>
      </c>
      <c r="I6" s="106"/>
      <c r="J6" s="54">
        <v>3.3</v>
      </c>
      <c r="K6" s="57">
        <v>2.1339999999999999</v>
      </c>
    </row>
    <row r="7" spans="1:12" x14ac:dyDescent="0.25">
      <c r="A7" s="5" t="s">
        <v>59</v>
      </c>
      <c r="B7" s="20" t="s">
        <v>4</v>
      </c>
      <c r="C7" s="59">
        <v>26</v>
      </c>
      <c r="D7" s="58">
        <v>0.02</v>
      </c>
      <c r="E7" s="59">
        <f>C7*D7</f>
        <v>0.52</v>
      </c>
      <c r="F7" s="55">
        <v>0.04</v>
      </c>
      <c r="G7" s="56">
        <f t="shared" si="1"/>
        <v>1.04</v>
      </c>
      <c r="H7" s="57">
        <f t="shared" si="2"/>
        <v>1.56</v>
      </c>
      <c r="I7" s="106"/>
      <c r="J7" s="54">
        <v>3.4</v>
      </c>
      <c r="K7" s="57">
        <v>2.097</v>
      </c>
    </row>
    <row r="8" spans="1:12" x14ac:dyDescent="0.25">
      <c r="A8" s="5" t="s">
        <v>28</v>
      </c>
      <c r="B8" s="33" t="s">
        <v>22</v>
      </c>
      <c r="C8" s="42">
        <v>0.05</v>
      </c>
      <c r="D8" s="33">
        <v>0</v>
      </c>
      <c r="E8" s="42">
        <f t="shared" si="0"/>
        <v>0</v>
      </c>
      <c r="F8" s="33">
        <v>1080</v>
      </c>
      <c r="G8" s="42">
        <f t="shared" si="1"/>
        <v>54</v>
      </c>
      <c r="H8" s="42">
        <f t="shared" si="2"/>
        <v>54</v>
      </c>
      <c r="I8" s="42"/>
      <c r="J8" s="57"/>
      <c r="K8" s="57"/>
    </row>
    <row r="9" spans="1:12" x14ac:dyDescent="0.25">
      <c r="A9" s="5" t="s">
        <v>29</v>
      </c>
      <c r="B9" s="33" t="s">
        <v>23</v>
      </c>
      <c r="C9" s="42">
        <v>0.06</v>
      </c>
      <c r="D9" s="33">
        <v>0</v>
      </c>
      <c r="E9" s="42">
        <f t="shared" si="0"/>
        <v>0</v>
      </c>
      <c r="F9" s="33">
        <v>360</v>
      </c>
      <c r="G9" s="42">
        <f t="shared" si="1"/>
        <v>21.599999999999998</v>
      </c>
      <c r="H9" s="42">
        <f t="shared" si="2"/>
        <v>21.599999999999998</v>
      </c>
      <c r="I9" s="42"/>
    </row>
    <row r="10" spans="1:12" x14ac:dyDescent="0.25">
      <c r="A10" s="5" t="s">
        <v>19</v>
      </c>
      <c r="B10" s="33" t="s">
        <v>5</v>
      </c>
      <c r="C10" s="42">
        <v>7.5</v>
      </c>
      <c r="D10" s="33">
        <v>1</v>
      </c>
      <c r="E10" s="42">
        <f t="shared" si="0"/>
        <v>7.5</v>
      </c>
      <c r="F10" s="33">
        <v>1</v>
      </c>
      <c r="G10" s="42">
        <f t="shared" si="1"/>
        <v>7.5</v>
      </c>
      <c r="H10" s="42">
        <f t="shared" si="2"/>
        <v>15</v>
      </c>
      <c r="I10" s="42"/>
    </row>
    <row r="11" spans="1:12" ht="15.75" thickBot="1" x14ac:dyDescent="0.3">
      <c r="A11" s="7" t="s">
        <v>16</v>
      </c>
      <c r="B11" s="32" t="s">
        <v>15</v>
      </c>
      <c r="C11" s="44">
        <v>2</v>
      </c>
      <c r="D11" s="32">
        <v>1</v>
      </c>
      <c r="E11" s="44">
        <f t="shared" si="0"/>
        <v>2</v>
      </c>
      <c r="F11" s="32">
        <v>1</v>
      </c>
      <c r="G11" s="44">
        <f t="shared" si="1"/>
        <v>2</v>
      </c>
      <c r="H11" s="44">
        <f t="shared" si="2"/>
        <v>4</v>
      </c>
      <c r="I11" s="42"/>
    </row>
    <row r="12" spans="1:12" x14ac:dyDescent="0.25">
      <c r="A12" s="47" t="s">
        <v>24</v>
      </c>
      <c r="B12" s="34" t="s">
        <v>31</v>
      </c>
      <c r="C12" s="86"/>
      <c r="D12" s="91"/>
      <c r="E12" s="49">
        <f>SUMPRODUCT(D2:D7,J2:J7)</f>
        <v>0.89205000000000023</v>
      </c>
      <c r="F12" s="48"/>
      <c r="G12" s="49">
        <f>SUMPRODUCT(F2:F7,J2:J7)</f>
        <v>2.4741500000000003</v>
      </c>
      <c r="H12" s="49">
        <f t="shared" si="2"/>
        <v>3.3662000000000005</v>
      </c>
      <c r="I12" s="42"/>
    </row>
    <row r="13" spans="1:12" x14ac:dyDescent="0.25">
      <c r="A13" s="12" t="s">
        <v>25</v>
      </c>
      <c r="B13" s="33" t="s">
        <v>31</v>
      </c>
      <c r="C13" s="87"/>
      <c r="D13" s="92"/>
      <c r="E13" s="42">
        <f>SUMPRODUCT(D2:D7,K2:K7)</f>
        <v>0.72478999999999993</v>
      </c>
      <c r="F13" s="50"/>
      <c r="G13" s="42">
        <f>SUMPRODUCT(F2:F7,K2:K7)</f>
        <v>2.0318300000000002</v>
      </c>
      <c r="H13" s="42">
        <f t="shared" si="2"/>
        <v>2.7566200000000003</v>
      </c>
      <c r="I13" s="42"/>
    </row>
    <row r="14" spans="1:12" ht="15.75" thickBot="1" x14ac:dyDescent="0.3">
      <c r="A14" s="7" t="s">
        <v>67</v>
      </c>
      <c r="B14" s="32" t="s">
        <v>32</v>
      </c>
      <c r="C14" s="51"/>
      <c r="D14" s="52">
        <v>0.15</v>
      </c>
      <c r="E14" s="44">
        <f>D14*SUMPRODUCT(E2:E7,L2:L7)</f>
        <v>2.8515000000000001</v>
      </c>
      <c r="F14" s="52">
        <v>0.15</v>
      </c>
      <c r="G14" s="44">
        <f>F14*SUMPRODUCT(G2:G7,L2:L7)</f>
        <v>8.5544999999999991</v>
      </c>
      <c r="H14" s="44">
        <f t="shared" si="2"/>
        <v>11.405999999999999</v>
      </c>
      <c r="I14" s="42"/>
    </row>
    <row r="15" spans="1:12" x14ac:dyDescent="0.25">
      <c r="A15" s="5" t="s">
        <v>7</v>
      </c>
      <c r="E15" s="36">
        <f>SUM(E2:E14)</f>
        <v>35.820340000000002</v>
      </c>
      <c r="G15" s="36">
        <f>SUM(G2:G14)</f>
        <v>160.87448000000001</v>
      </c>
      <c r="H15" s="36">
        <f>SUM(H2:H14)</f>
        <v>196.69481999999999</v>
      </c>
      <c r="I15" s="42"/>
    </row>
    <row r="16" spans="1:12" ht="15.75" thickBot="1" x14ac:dyDescent="0.3">
      <c r="A16" s="7" t="s">
        <v>62</v>
      </c>
      <c r="B16" s="4" t="s">
        <v>30</v>
      </c>
      <c r="C16" s="39">
        <v>0.17</v>
      </c>
      <c r="E16" s="36">
        <f>$C$16*E15</f>
        <v>6.0894578000000008</v>
      </c>
      <c r="G16" s="36">
        <f>$C$16*G15</f>
        <v>27.348661600000003</v>
      </c>
      <c r="H16" s="36">
        <f>$C$16*H15</f>
        <v>33.438119399999998</v>
      </c>
      <c r="I16" s="42"/>
    </row>
    <row r="17" spans="1:9" ht="15.75" thickBot="1" x14ac:dyDescent="0.3">
      <c r="A17" s="1" t="s">
        <v>8</v>
      </c>
      <c r="B17" s="45"/>
      <c r="C17" s="45"/>
      <c r="D17" s="45"/>
      <c r="E17" s="46">
        <f>E15+E16</f>
        <v>41.9097978</v>
      </c>
      <c r="F17" s="45"/>
      <c r="G17" s="46">
        <f>G15+G16</f>
        <v>188.22314160000002</v>
      </c>
      <c r="H17" s="46">
        <f>H15+H16</f>
        <v>230.1329394</v>
      </c>
      <c r="I17" s="42"/>
    </row>
    <row r="18" spans="1:9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1_KIT</vt:lpstr>
      <vt:lpstr>2_AdoptionRateSeedSalesCIAT</vt:lpstr>
      <vt:lpstr>3_AdoptionDualPurpGroundnutILRI</vt:lpstr>
      <vt:lpstr>4_ForageImpactILRI</vt:lpstr>
      <vt:lpstr>5_NapierVarietiesILRI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 Teufel</dc:creator>
  <cp:lastModifiedBy>Nils Teufel</cp:lastModifiedBy>
  <dcterms:created xsi:type="dcterms:W3CDTF">2017-06-20T13:46:01Z</dcterms:created>
  <dcterms:modified xsi:type="dcterms:W3CDTF">2017-09-06T08:02:34Z</dcterms:modified>
</cp:coreProperties>
</file>